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activeTab="2"/>
  </bookViews>
  <sheets>
    <sheet name="Zinsstrukturkurve" sheetId="1" r:id="rId1"/>
    <sheet name="Swap-Zinssätze" sheetId="2" r:id="rId2"/>
    <sheet name="Swaptions bewerten" sheetId="3" r:id="rId3"/>
  </sheets>
  <definedNames>
    <definedName name="ZBAF">'Swap-Zinssätze'!$A$11:$K$93</definedName>
  </definedNames>
  <calcPr fullCalcOnLoad="1"/>
</workbook>
</file>

<file path=xl/sharedStrings.xml><?xml version="1.0" encoding="utf-8"?>
<sst xmlns="http://schemas.openxmlformats.org/spreadsheetml/2006/main" count="85" uniqueCount="52">
  <si>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</si>
  <si>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</si>
  <si>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</si>
  <si>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</si>
  <si>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</si>
  <si>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</si>
  <si>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</si>
  <si>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</si>
  <si>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</si>
  <si>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</si>
  <si>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</si>
  <si>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</si>
  <si>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</si>
  <si>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www.uni-siegen.de/~banken</t>
  </si>
  <si>
    <t>Prof. Dr. Arnd Wiedemann</t>
  </si>
  <si>
    <t>Universität Siegen</t>
  </si>
  <si>
    <t>Forwards</t>
  </si>
  <si>
    <t>Forward Rate</t>
  </si>
  <si>
    <t>d1</t>
  </si>
  <si>
    <t>Vola</t>
  </si>
  <si>
    <t>d2</t>
  </si>
  <si>
    <t>Payer-Swaption</t>
  </si>
  <si>
    <t>Receicer-Swaption</t>
  </si>
  <si>
    <t>N(-d1)</t>
  </si>
  <si>
    <t>N(-d2)</t>
  </si>
  <si>
    <t>X*N(-d2) - FR*(N-d1)</t>
  </si>
  <si>
    <t>Summendiskontfaktor</t>
  </si>
  <si>
    <t>Volumen der Swaption</t>
  </si>
  <si>
    <t>FR*N(d1) - X*N(d2)</t>
  </si>
  <si>
    <t>Receiver-Swaption</t>
  </si>
  <si>
    <t>N(d1)</t>
  </si>
  <si>
    <t>N(d2)</t>
  </si>
  <si>
    <t>Strike Price</t>
  </si>
  <si>
    <t>www.bankstudium.com</t>
  </si>
  <si>
    <t>Strike price X</t>
  </si>
  <si>
    <t>Jahr(e)</t>
  </si>
  <si>
    <t>Bewertung</t>
  </si>
  <si>
    <t>Gesamtlaufzeit</t>
  </si>
  <si>
    <t>Vorlaufzeit</t>
  </si>
  <si>
    <t>Swap-Laufzeit</t>
  </si>
  <si>
    <t>Vorlauf 1</t>
  </si>
  <si>
    <t>Vorlauf 2</t>
  </si>
  <si>
    <t>Vorlauf 3</t>
  </si>
  <si>
    <t>Vorlauf 4</t>
  </si>
  <si>
    <t>Vorlauf 5</t>
  </si>
  <si>
    <t>Berechnung des Summendiskontfaktors</t>
  </si>
  <si>
    <t>Swap-Zinssätze nach Laufzeit</t>
  </si>
  <si>
    <t>Zero-Rate</t>
  </si>
  <si>
    <t>stetige Zero-Rate</t>
  </si>
  <si>
    <t>Stetige Abzinsfaktoren</t>
  </si>
  <si>
    <t>Vorlauf</t>
  </si>
  <si>
    <t>Volatilität Forward Rate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</si>
</sst>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%"/>
    <numFmt numFmtId="166" formatCode="0.000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"/>
    <numFmt numFmtId="171" formatCode="#,##0.00_ ;[Red]\-#,##0.00\ "/>
    <numFmt numFmtId="172" formatCode="#,##0.0000"/>
    <numFmt numFmtId="173" formatCode="#,##0\ [$€-1]"/>
    <numFmt numFmtId="174" formatCode="#,##0.00\ [$€-1]"/>
    <numFmt numFmtId="175" formatCode="#,##0_ ;[Red]\-#,##0\ "/>
  </numFmts>
  <fonts count="23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24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b/>
      <sz val="12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18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0" fontId="10" fillId="3" borderId="0" xfId="18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0" fontId="14" fillId="3" borderId="0" xfId="18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0" fontId="7" fillId="4" borderId="5" xfId="0" applyFont="1" applyFill="1" applyBorder="1" applyAlignment="1" applyProtection="1">
      <alignment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7" fillId="4" borderId="8" xfId="0" applyFont="1" applyFill="1" applyBorder="1" applyAlignment="1" applyProtection="1">
      <alignment/>
      <protection hidden="1"/>
    </xf>
    <xf numFmtId="0" fontId="7" fillId="4" borderId="9" xfId="0" applyFont="1" applyFill="1" applyBorder="1" applyAlignment="1" applyProtection="1">
      <alignment/>
      <protection hidden="1"/>
    </xf>
    <xf numFmtId="0" fontId="7" fillId="4" borderId="1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7" fillId="4" borderId="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164" fontId="5" fillId="3" borderId="0" xfId="0" applyNumberFormat="1" applyFont="1" applyFill="1" applyAlignment="1" applyProtection="1">
      <alignment/>
      <protection hidden="1"/>
    </xf>
    <xf numFmtId="164" fontId="4" fillId="3" borderId="0" xfId="0" applyNumberFormat="1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0" fontId="13" fillId="3" borderId="0" xfId="0" applyNumberFormat="1" applyFont="1" applyFill="1" applyBorder="1" applyAlignment="1" applyProtection="1">
      <alignment/>
      <protection hidden="1"/>
    </xf>
    <xf numFmtId="10" fontId="15" fillId="3" borderId="0" xfId="0" applyNumberFormat="1" applyFont="1" applyFill="1" applyBorder="1" applyAlignment="1" applyProtection="1">
      <alignment/>
      <protection hidden="1"/>
    </xf>
    <xf numFmtId="10" fontId="17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6" fontId="0" fillId="3" borderId="11" xfId="0" applyNumberFormat="1" applyFill="1" applyBorder="1" applyAlignment="1" applyProtection="1">
      <alignment/>
      <protection hidden="1"/>
    </xf>
    <xf numFmtId="166" fontId="0" fillId="3" borderId="12" xfId="0" applyNumberFormat="1" applyFill="1" applyBorder="1" applyAlignment="1" applyProtection="1">
      <alignment/>
      <protection hidden="1"/>
    </xf>
    <xf numFmtId="166" fontId="4" fillId="5" borderId="3" xfId="0" applyNumberFormat="1" applyFont="1" applyFill="1" applyBorder="1" applyAlignment="1" applyProtection="1">
      <alignment/>
      <protection locked="0"/>
    </xf>
    <xf numFmtId="166" fontId="4" fillId="5" borderId="4" xfId="0" applyNumberFormat="1" applyFont="1" applyFill="1" applyBorder="1" applyAlignment="1" applyProtection="1">
      <alignment/>
      <protection locked="0"/>
    </xf>
    <xf numFmtId="0" fontId="18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5" fillId="3" borderId="0" xfId="0" applyFont="1" applyFill="1" applyAlignment="1" applyProtection="1">
      <alignment/>
      <protection hidden="1"/>
    </xf>
    <xf numFmtId="4" fontId="11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172" fontId="0" fillId="3" borderId="0" xfId="0" applyNumberFormat="1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left"/>
      <protection hidden="1"/>
    </xf>
    <xf numFmtId="0" fontId="11" fillId="3" borderId="0" xfId="0" applyFont="1" applyFill="1" applyAlignment="1" applyProtection="1">
      <alignment horizontal="right"/>
      <protection hidden="1"/>
    </xf>
    <xf numFmtId="171" fontId="11" fillId="3" borderId="0" xfId="0" applyNumberFormat="1" applyFont="1" applyFill="1" applyAlignment="1" applyProtection="1">
      <alignment/>
      <protection hidden="1"/>
    </xf>
    <xf numFmtId="172" fontId="11" fillId="3" borderId="0" xfId="0" applyNumberFormat="1" applyFont="1" applyFill="1" applyBorder="1" applyAlignment="1" applyProtection="1">
      <alignment/>
      <protection hidden="1"/>
    </xf>
    <xf numFmtId="0" fontId="14" fillId="2" borderId="0" xfId="18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4" fontId="0" fillId="3" borderId="13" xfId="0" applyNumberFormat="1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3" borderId="15" xfId="0" applyFont="1" applyFill="1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/>
      <protection hidden="1"/>
    </xf>
    <xf numFmtId="0" fontId="0" fillId="3" borderId="17" xfId="0" applyFont="1" applyFill="1" applyBorder="1" applyAlignment="1" applyProtection="1">
      <alignment/>
      <protection hidden="1"/>
    </xf>
    <xf numFmtId="0" fontId="0" fillId="3" borderId="18" xfId="0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0" fillId="3" borderId="18" xfId="0" applyNumberFormat="1" applyFont="1" applyFill="1" applyBorder="1" applyAlignment="1" applyProtection="1">
      <alignment/>
      <protection hidden="1"/>
    </xf>
    <xf numFmtId="10" fontId="0" fillId="3" borderId="0" xfId="0" applyNumberFormat="1" applyFont="1" applyFill="1" applyBorder="1" applyAlignment="1" applyProtection="1">
      <alignment/>
      <protection hidden="1"/>
    </xf>
    <xf numFmtId="10" fontId="0" fillId="3" borderId="18" xfId="0" applyNumberFormat="1" applyFont="1" applyFill="1" applyBorder="1" applyAlignment="1" applyProtection="1">
      <alignment/>
      <protection hidden="1"/>
    </xf>
    <xf numFmtId="164" fontId="0" fillId="3" borderId="0" xfId="0" applyNumberFormat="1" applyFont="1" applyFill="1" applyBorder="1" applyAlignment="1" applyProtection="1">
      <alignment/>
      <protection hidden="1"/>
    </xf>
    <xf numFmtId="164" fontId="0" fillId="3" borderId="18" xfId="0" applyNumberFormat="1" applyFont="1" applyFill="1" applyBorder="1" applyAlignment="1" applyProtection="1">
      <alignment/>
      <protection hidden="1"/>
    </xf>
    <xf numFmtId="0" fontId="0" fillId="3" borderId="19" xfId="0" applyFont="1" applyFill="1" applyBorder="1" applyAlignment="1" applyProtection="1">
      <alignment/>
      <protection hidden="1"/>
    </xf>
    <xf numFmtId="4" fontId="0" fillId="3" borderId="20" xfId="0" applyNumberFormat="1" applyFont="1" applyFill="1" applyBorder="1" applyAlignment="1" applyProtection="1">
      <alignment/>
      <protection hidden="1"/>
    </xf>
    <xf numFmtId="0" fontId="0" fillId="3" borderId="21" xfId="0" applyFont="1" applyFill="1" applyBorder="1" applyAlignment="1" applyProtection="1">
      <alignment/>
      <protection hidden="1"/>
    </xf>
    <xf numFmtId="0" fontId="0" fillId="3" borderId="22" xfId="0" applyFont="1" applyFill="1" applyBorder="1" applyAlignment="1" applyProtection="1">
      <alignment/>
      <protection hidden="1"/>
    </xf>
    <xf numFmtId="0" fontId="0" fillId="3" borderId="23" xfId="0" applyFont="1" applyFill="1" applyBorder="1" applyAlignment="1" applyProtection="1">
      <alignment/>
      <protection hidden="1"/>
    </xf>
    <xf numFmtId="0" fontId="16" fillId="3" borderId="15" xfId="0" applyFont="1" applyFill="1" applyBorder="1" applyAlignment="1" applyProtection="1">
      <alignment horizontal="center"/>
      <protection hidden="1"/>
    </xf>
    <xf numFmtId="0" fontId="12" fillId="6" borderId="14" xfId="0" applyFont="1" applyFill="1" applyBorder="1" applyAlignment="1" applyProtection="1">
      <alignment/>
      <protection hidden="1"/>
    </xf>
    <xf numFmtId="0" fontId="12" fillId="6" borderId="15" xfId="0" applyFont="1" applyFill="1" applyBorder="1" applyAlignment="1" applyProtection="1">
      <alignment/>
      <protection hidden="1"/>
    </xf>
    <xf numFmtId="0" fontId="20" fillId="6" borderId="15" xfId="0" applyFont="1" applyFill="1" applyBorder="1" applyAlignment="1" applyProtection="1">
      <alignment horizontal="center"/>
      <protection hidden="1"/>
    </xf>
    <xf numFmtId="0" fontId="12" fillId="6" borderId="16" xfId="0" applyFont="1" applyFill="1" applyBorder="1" applyAlignment="1" applyProtection="1">
      <alignment/>
      <protection hidden="1"/>
    </xf>
    <xf numFmtId="0" fontId="20" fillId="6" borderId="21" xfId="0" applyFont="1" applyFill="1" applyBorder="1" applyAlignment="1" applyProtection="1">
      <alignment/>
      <protection hidden="1"/>
    </xf>
    <xf numFmtId="172" fontId="12" fillId="6" borderId="22" xfId="0" applyNumberFormat="1" applyFont="1" applyFill="1" applyBorder="1" applyAlignment="1" applyProtection="1">
      <alignment horizontal="right"/>
      <protection hidden="1"/>
    </xf>
    <xf numFmtId="0" fontId="20" fillId="6" borderId="22" xfId="0" applyFont="1" applyFill="1" applyBorder="1" applyAlignment="1" applyProtection="1">
      <alignment/>
      <protection hidden="1"/>
    </xf>
    <xf numFmtId="174" fontId="20" fillId="6" borderId="22" xfId="0" applyNumberFormat="1" applyFont="1" applyFill="1" applyBorder="1" applyAlignment="1" applyProtection="1">
      <alignment/>
      <protection hidden="1"/>
    </xf>
    <xf numFmtId="174" fontId="20" fillId="6" borderId="23" xfId="0" applyNumberFormat="1" applyFont="1" applyFill="1" applyBorder="1" applyAlignment="1" applyProtection="1">
      <alignment/>
      <protection hidden="1"/>
    </xf>
    <xf numFmtId="0" fontId="18" fillId="3" borderId="0" xfId="0" applyFont="1" applyFill="1" applyAlignment="1" applyProtection="1">
      <alignment horizontal="left"/>
      <protection hidden="1"/>
    </xf>
    <xf numFmtId="1" fontId="11" fillId="3" borderId="0" xfId="0" applyNumberFormat="1" applyFont="1" applyFill="1" applyAlignment="1" applyProtection="1">
      <alignment horizontal="right"/>
      <protection hidden="1"/>
    </xf>
    <xf numFmtId="166" fontId="11" fillId="5" borderId="0" xfId="0" applyNumberFormat="1" applyFont="1" applyFill="1" applyAlignment="1" applyProtection="1">
      <alignment/>
      <protection hidden="1" locked="0"/>
    </xf>
    <xf numFmtId="173" fontId="11" fillId="5" borderId="0" xfId="0" applyNumberFormat="1" applyFont="1" applyFill="1" applyAlignment="1" applyProtection="1">
      <alignment horizontal="right"/>
      <protection hidden="1" locked="0"/>
    </xf>
    <xf numFmtId="1" fontId="11" fillId="3" borderId="0" xfId="0" applyNumberFormat="1" applyFont="1" applyFill="1" applyAlignment="1" applyProtection="1">
      <alignment/>
      <protection hidden="1" locked="0"/>
    </xf>
    <xf numFmtId="0" fontId="6" fillId="3" borderId="0" xfId="0" applyFont="1" applyFill="1" applyAlignment="1" applyProtection="1">
      <alignment/>
      <protection hidden="1"/>
    </xf>
    <xf numFmtId="0" fontId="22" fillId="3" borderId="0" xfId="0" applyFont="1" applyFill="1" applyAlignment="1" applyProtection="1">
      <alignment/>
      <protection hidden="1"/>
    </xf>
    <xf numFmtId="166" fontId="1" fillId="3" borderId="0" xfId="0" applyNumberFormat="1" applyFont="1" applyFill="1" applyAlignment="1" applyProtection="1">
      <alignment/>
      <protection hidden="1"/>
    </xf>
    <xf numFmtId="164" fontId="1" fillId="3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Zinsstrukturkurve!$B$11:$K$11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Zinsstrukturkurve!$B$12:$K$12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Zinsstrukturkurve!$B$13:$K$13</c:f>
              <c:numCache/>
            </c:numRef>
          </c:val>
          <c:smooth val="0"/>
        </c:ser>
        <c:axId val="17013711"/>
        <c:axId val="18905672"/>
      </c:lineChart>
      <c:catAx>
        <c:axId val="1701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137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704850</xdr:colOff>
      <xdr:row>37</xdr:row>
      <xdr:rowOff>0</xdr:rowOff>
    </xdr:to>
    <xdr:graphicFrame>
      <xdr:nvGraphicFramePr>
        <xdr:cNvPr id="1" name="Chart 8"/>
        <xdr:cNvGraphicFramePr/>
      </xdr:nvGraphicFramePr>
      <xdr:xfrm>
        <a:off x="0" y="2105025"/>
        <a:ext cx="7991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542925</xdr:colOff>
      <xdr:row>8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85725</xdr:rowOff>
    </xdr:from>
    <xdr:to>
      <xdr:col>1</xdr:col>
      <xdr:colOff>676275</xdr:colOff>
      <xdr:row>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</xdr:row>
      <xdr:rowOff>85725</xdr:rowOff>
    </xdr:from>
    <xdr:to>
      <xdr:col>8</xdr:col>
      <xdr:colOff>619125</xdr:colOff>
      <xdr:row>5</xdr:row>
      <xdr:rowOff>85725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981575" y="571500"/>
          <a:ext cx="1733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Swapzinssätze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57150</xdr:rowOff>
    </xdr:from>
    <xdr:to>
      <xdr:col>1</xdr:col>
      <xdr:colOff>1343025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</xdr:row>
      <xdr:rowOff>76200</xdr:rowOff>
    </xdr:from>
    <xdr:to>
      <xdr:col>6</xdr:col>
      <xdr:colOff>57150</xdr:colOff>
      <xdr:row>6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733925" y="238125"/>
          <a:ext cx="24574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Bewertung von Swaptions</a:t>
          </a:r>
        </a:p>
      </xdr:txBody>
    </xdr:sp>
    <xdr:clientData/>
  </xdr:twoCellAnchor>
  <xdr:twoCellAnchor editAs="oneCell">
    <xdr:from>
      <xdr:col>4</xdr:col>
      <xdr:colOff>1085850</xdr:colOff>
      <xdr:row>8</xdr:row>
      <xdr:rowOff>9525</xdr:rowOff>
    </xdr:from>
    <xdr:to>
      <xdr:col>5</xdr:col>
      <xdr:colOff>781050</xdr:colOff>
      <xdr:row>8</xdr:row>
      <xdr:rowOff>171450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333500"/>
          <a:ext cx="1409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638175</xdr:colOff>
      <xdr:row>17</xdr:row>
      <xdr:rowOff>66675</xdr:rowOff>
    </xdr:to>
    <xdr:sp>
      <xdr:nvSpPr>
        <xdr:cNvPr id="4" name="Line 13"/>
        <xdr:cNvSpPr>
          <a:spLocks/>
        </xdr:cNvSpPr>
      </xdr:nvSpPr>
      <xdr:spPr>
        <a:xfrm>
          <a:off x="3114675" y="26955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15</xdr:row>
      <xdr:rowOff>9525</xdr:rowOff>
    </xdr:from>
    <xdr:to>
      <xdr:col>5</xdr:col>
      <xdr:colOff>704850</xdr:colOff>
      <xdr:row>17</xdr:row>
      <xdr:rowOff>76200</xdr:rowOff>
    </xdr:to>
    <xdr:sp>
      <xdr:nvSpPr>
        <xdr:cNvPr id="5" name="Line 15"/>
        <xdr:cNvSpPr>
          <a:spLocks/>
        </xdr:cNvSpPr>
      </xdr:nvSpPr>
      <xdr:spPr>
        <a:xfrm>
          <a:off x="6858000" y="27051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1085850</xdr:colOff>
      <xdr:row>9</xdr:row>
      <xdr:rowOff>19050</xdr:rowOff>
    </xdr:from>
    <xdr:to>
      <xdr:col>5</xdr:col>
      <xdr:colOff>781050</xdr:colOff>
      <xdr:row>9</xdr:row>
      <xdr:rowOff>180975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533525"/>
          <a:ext cx="1409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studium.com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showRowColHeaders="0" workbookViewId="0" topLeftCell="A1">
      <selection activeCell="B11" sqref="B11"/>
    </sheetView>
  </sheetViews>
  <sheetFormatPr defaultColWidth="11.421875" defaultRowHeight="12.75"/>
  <cols>
    <col min="1" max="1" width="12.8515625" style="4" customWidth="1"/>
    <col min="2" max="11" width="10.7109375" style="4" customWidth="1"/>
    <col min="12" max="16384" width="11.421875" style="4" customWidth="1"/>
  </cols>
  <sheetData>
    <row r="1" s="1" customFormat="1" ht="12.75">
      <c r="C1" s="7"/>
    </row>
    <row r="2" s="1" customFormat="1" ht="12.75">
      <c r="C2" s="1" t="s">
        <v>14</v>
      </c>
    </row>
    <row r="3" s="1" customFormat="1" ht="12.75">
      <c r="C3" s="1" t="s">
        <v>10</v>
      </c>
    </row>
    <row r="4" s="1" customFormat="1" ht="12.75">
      <c r="C4" s="1" t="s">
        <v>15</v>
      </c>
    </row>
    <row r="5" s="1" customFormat="1" ht="12.75">
      <c r="C5" s="3" t="s">
        <v>13</v>
      </c>
    </row>
    <row r="6" s="1" customFormat="1" ht="12.75">
      <c r="C6" s="3" t="s">
        <v>12</v>
      </c>
    </row>
    <row r="7" s="1" customFormat="1" ht="12.75">
      <c r="C7" s="3"/>
    </row>
    <row r="8" s="1" customFormat="1" ht="12.75">
      <c r="C8" s="3"/>
    </row>
    <row r="9" ht="12.75"/>
    <row r="10" spans="1:11" s="33" customFormat="1" ht="12.75">
      <c r="A10" s="25" t="s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</row>
    <row r="11" spans="1:11" s="33" customFormat="1" ht="12.75">
      <c r="A11" s="25" t="s">
        <v>3</v>
      </c>
      <c r="B11" s="34">
        <f>'Swap-Zinssätze'!B13</f>
        <v>0.03361</v>
      </c>
      <c r="C11" s="34">
        <f>'Swap-Zinssätze'!C13</f>
        <v>0.03525</v>
      </c>
      <c r="D11" s="34">
        <f>'Swap-Zinssätze'!D13</f>
        <v>0.03775</v>
      </c>
      <c r="E11" s="34">
        <f>'Swap-Zinssätze'!E13</f>
        <v>0.04002</v>
      </c>
      <c r="F11" s="34">
        <f>'Swap-Zinssätze'!F13</f>
        <v>0.04205</v>
      </c>
      <c r="G11" s="34">
        <f>'Swap-Zinssätze'!G13</f>
        <v>0.04365</v>
      </c>
      <c r="H11" s="34">
        <f>'Swap-Zinssätze'!H13</f>
        <v>0.04525</v>
      </c>
      <c r="I11" s="34">
        <f>'Swap-Zinssätze'!I13</f>
        <v>0.04632333</v>
      </c>
      <c r="J11" s="34">
        <f>'Swap-Zinssätze'!J13</f>
        <v>0.04739666</v>
      </c>
      <c r="K11" s="34">
        <f>'Swap-Zinssätze'!K13</f>
        <v>0.04847</v>
      </c>
    </row>
    <row r="12" spans="1:11" s="33" customFormat="1" ht="12.75">
      <c r="A12" s="25" t="s">
        <v>4</v>
      </c>
      <c r="B12" s="35">
        <f>'Swap-Zinssätze'!B16</f>
        <v>0.03360999999999992</v>
      </c>
      <c r="C12" s="35">
        <f>'Swap-Zinssätze'!C16</f>
        <v>0.035278952077229864</v>
      </c>
      <c r="D12" s="35">
        <f>'Swap-Zinssätze'!D16</f>
        <v>0.037866715238422</v>
      </c>
      <c r="E12" s="35">
        <f>'Swap-Zinssätze'!E16</f>
        <v>0.040254173024349305</v>
      </c>
      <c r="F12" s="35">
        <f>'Swap-Zinssätze'!F16</f>
        <v>0.042427811360941314</v>
      </c>
      <c r="G12" s="35">
        <f>'Swap-Zinssätze'!G16</f>
        <v>0.04416613355127752</v>
      </c>
      <c r="H12" s="35">
        <f>'Swap-Zinssätze'!H16</f>
        <v>0.04594991439089924</v>
      </c>
      <c r="I12" s="35">
        <f>'Swap-Zinssätze'!I16</f>
        <v>0.04714836898012509</v>
      </c>
      <c r="J12" s="35">
        <f>'Swap-Zinssätze'!J16</f>
        <v>0.048384367158688324</v>
      </c>
      <c r="K12" s="35">
        <f>'Swap-Zinssätze'!K16</f>
        <v>0.04965956654634507</v>
      </c>
    </row>
    <row r="13" spans="1:11" s="33" customFormat="1" ht="12.75">
      <c r="A13" s="25" t="s">
        <v>16</v>
      </c>
      <c r="B13" s="36">
        <f>'Swap-Zinssätze'!B82</f>
        <v>0.036950598982331176</v>
      </c>
      <c r="C13" s="36">
        <f>'Swap-Zinssätze'!C82</f>
        <v>0.03994172931665299</v>
      </c>
      <c r="D13" s="36">
        <f>'Swap-Zinssätze'!D82</f>
        <v>0.04233275160011548</v>
      </c>
      <c r="E13" s="36">
        <f>'Swap-Zinssätze'!E82</f>
        <v>0.04438711151535677</v>
      </c>
      <c r="F13" s="36">
        <f>'Swap-Zinssätze'!F82</f>
        <v>0.045927258085486464</v>
      </c>
      <c r="G13" s="36">
        <f>'Swap-Zinssätze'!G82</f>
        <v>0.04750427552547719</v>
      </c>
      <c r="H13" s="36">
        <f>'Swap-Zinssätze'!H82</f>
        <v>0.04848601391896799</v>
      </c>
      <c r="I13" s="36">
        <f>'Swap-Zinssätze'!I82</f>
        <v>0.049500186853359995</v>
      </c>
      <c r="J13" s="36">
        <f>'Swap-Zinssätze'!J82</f>
        <v>0.0505365648528658</v>
      </c>
      <c r="K13" s="29"/>
    </row>
    <row r="14" spans="1:11" ht="12.75">
      <c r="A14" s="27" t="s">
        <v>1</v>
      </c>
      <c r="B14" s="28">
        <f>A26</f>
        <v>0.9674828997397472</v>
      </c>
      <c r="C14" s="28">
        <f>A25</f>
        <v>0.9330077061426456</v>
      </c>
      <c r="D14" s="28">
        <f>A24</f>
        <v>0.8944895009664562</v>
      </c>
      <c r="E14" s="28">
        <f>A23</f>
        <v>0.8539690545604018</v>
      </c>
      <c r="F14" s="28">
        <f>A22</f>
        <v>0.8124002569576715</v>
      </c>
      <c r="G14" s="28">
        <f>A21</f>
        <v>0.7715825208530487</v>
      </c>
      <c r="H14" s="28">
        <f>A20</f>
        <v>0.7301696529541221</v>
      </c>
      <c r="I14" s="28">
        <f>A19</f>
        <v>0.6917262153776053</v>
      </c>
      <c r="J14" s="28">
        <f>A18</f>
        <v>0.6536047088854828</v>
      </c>
      <c r="K14" s="28">
        <f>A17</f>
        <v>0.6159072514504851</v>
      </c>
    </row>
    <row r="15" spans="1:11" ht="12.75">
      <c r="A15" s="27" t="s">
        <v>2</v>
      </c>
      <c r="B15" s="28">
        <f>1/B14</f>
        <v>1.03361</v>
      </c>
      <c r="C15" s="28">
        <f aca="true" t="shared" si="0" ref="C15:K15">1/C14</f>
        <v>1.0718025086141272</v>
      </c>
      <c r="D15" s="28">
        <f t="shared" si="0"/>
        <v>1.117956106717345</v>
      </c>
      <c r="E15" s="28">
        <f t="shared" si="0"/>
        <v>1.1710026196614005</v>
      </c>
      <c r="F15" s="28">
        <f t="shared" si="0"/>
        <v>1.2309203393717083</v>
      </c>
      <c r="G15" s="28">
        <f t="shared" si="0"/>
        <v>1.2960376537488392</v>
      </c>
      <c r="H15" s="28">
        <f t="shared" si="0"/>
        <v>1.3695447297134271</v>
      </c>
      <c r="I15" s="28">
        <f t="shared" si="0"/>
        <v>1.44565866923825</v>
      </c>
      <c r="J15" s="28">
        <f t="shared" si="0"/>
        <v>1.5299767373236728</v>
      </c>
      <c r="K15" s="28">
        <f t="shared" si="0"/>
        <v>1.623621085228274</v>
      </c>
    </row>
    <row r="16" spans="1:11" ht="12.75">
      <c r="A16" s="27" t="s">
        <v>4</v>
      </c>
      <c r="B16" s="29">
        <f>B15-1</f>
        <v>0.03360999999999992</v>
      </c>
      <c r="C16" s="29">
        <f>(C15)^(1/2)-1</f>
        <v>0.035278952077229864</v>
      </c>
      <c r="D16" s="29">
        <f>(D15)^(1/3)-1</f>
        <v>0.037866715238422</v>
      </c>
      <c r="E16" s="29">
        <f>(E15)^(1/4)-1</f>
        <v>0.040254173024349305</v>
      </c>
      <c r="F16" s="29">
        <f>(F15)^(1/5)-1</f>
        <v>0.042427811360941314</v>
      </c>
      <c r="G16" s="29">
        <f>(G15)^(1/6)-1</f>
        <v>0.04416613355127752</v>
      </c>
      <c r="H16" s="29">
        <f>(H15)^(1/7)-1</f>
        <v>0.04594991439089924</v>
      </c>
      <c r="I16" s="29">
        <f>(I15)^(1/8)-1</f>
        <v>0.04714836898012509</v>
      </c>
      <c r="J16" s="29">
        <f>(J15)^(1/9)-1</f>
        <v>0.048384367158688324</v>
      </c>
      <c r="K16" s="29">
        <f>(K15)^(1/10)-1</f>
        <v>0.04965956654634507</v>
      </c>
    </row>
    <row r="17" spans="1:11" ht="12.75">
      <c r="A17" s="30">
        <f>bar(K17,K11)-J17*(SUM(B14:J14))</f>
        <v>0.6159072514504851</v>
      </c>
      <c r="B17" s="31"/>
      <c r="C17" s="31"/>
      <c r="D17" s="31"/>
      <c r="E17" s="31"/>
      <c r="F17" s="31"/>
      <c r="G17" s="31"/>
      <c r="H17" s="31"/>
      <c r="I17" s="31"/>
      <c r="J17" s="31">
        <f>1-bar(K17,K$11)</f>
        <v>0.04622926740870026</v>
      </c>
      <c r="K17" s="31">
        <v>1</v>
      </c>
    </row>
    <row r="18" spans="1:11" ht="12.75">
      <c r="A18" s="30">
        <f>bar(J18,J11)-I18*(SUM(B14:I14))</f>
        <v>0.6536047088854828</v>
      </c>
      <c r="B18" s="31"/>
      <c r="C18" s="31"/>
      <c r="D18" s="31"/>
      <c r="E18" s="31"/>
      <c r="F18" s="31"/>
      <c r="G18" s="31"/>
      <c r="H18" s="31"/>
      <c r="I18" s="31">
        <f>1-bar(J18,J$11)</f>
        <v>0.045251872389969194</v>
      </c>
      <c r="J18" s="31">
        <v>1</v>
      </c>
      <c r="K18" s="31"/>
    </row>
    <row r="19" spans="1:11" ht="12.75">
      <c r="A19" s="30">
        <f>bar(I19,I11)-H19*(SUM(B14:H14))</f>
        <v>0.6917262153776053</v>
      </c>
      <c r="B19" s="31"/>
      <c r="C19" s="31"/>
      <c r="D19" s="31"/>
      <c r="E19" s="31"/>
      <c r="F19" s="31"/>
      <c r="G19" s="31"/>
      <c r="H19" s="31">
        <f>1-bar(I19,I$11)</f>
        <v>0.04427248124152994</v>
      </c>
      <c r="I19" s="31">
        <v>1</v>
      </c>
      <c r="J19" s="31"/>
      <c r="K19" s="31"/>
    </row>
    <row r="20" spans="1:11" ht="12.75">
      <c r="A20" s="30">
        <f>bar(H20,H11)-G20*(SUM(B14:G14))</f>
        <v>0.7301696529541221</v>
      </c>
      <c r="B20" s="31"/>
      <c r="C20" s="31"/>
      <c r="D20" s="31"/>
      <c r="E20" s="31"/>
      <c r="F20" s="31"/>
      <c r="G20" s="31">
        <f>1-bar(H20,H$11)</f>
        <v>0.043291078689308815</v>
      </c>
      <c r="H20" s="31">
        <v>1</v>
      </c>
      <c r="I20" s="31"/>
      <c r="J20" s="31"/>
      <c r="K20" s="31"/>
    </row>
    <row r="21" spans="1:11" ht="12.75">
      <c r="A21" s="30">
        <f>bar(G21,G11)-F21*(SUM(B14:F14))</f>
        <v>0.7715825208530487</v>
      </c>
      <c r="B21" s="31"/>
      <c r="C21" s="31"/>
      <c r="D21" s="31"/>
      <c r="E21" s="31"/>
      <c r="F21" s="31">
        <f>1-bar(G21,G$11)</f>
        <v>0.04182436640636222</v>
      </c>
      <c r="G21" s="31">
        <v>1</v>
      </c>
      <c r="H21" s="31"/>
      <c r="I21" s="31"/>
      <c r="J21" s="31"/>
      <c r="K21" s="31"/>
    </row>
    <row r="22" spans="1:11" ht="12.75">
      <c r="A22" s="30">
        <f>bar(F22,F11)-E22*(SUM(B14:E14))</f>
        <v>0.8124002569576715</v>
      </c>
      <c r="B22" s="31"/>
      <c r="C22" s="31"/>
      <c r="D22" s="31"/>
      <c r="E22" s="31">
        <f>1-bar(F22,F11)</f>
        <v>0.04035315004078488</v>
      </c>
      <c r="F22" s="31">
        <v>1</v>
      </c>
      <c r="G22" s="31"/>
      <c r="H22" s="31"/>
      <c r="I22" s="31"/>
      <c r="J22" s="31"/>
      <c r="K22" s="31"/>
    </row>
    <row r="23" spans="1:11" ht="12.75">
      <c r="A23" s="30">
        <f>bar(E23,E11)-D23*(SUM(B14:D14))</f>
        <v>0.8539690545604018</v>
      </c>
      <c r="B23" s="31"/>
      <c r="C23" s="31"/>
      <c r="D23" s="31">
        <f>1-bar(E23,E11)</f>
        <v>0.0384800292302071</v>
      </c>
      <c r="E23" s="31">
        <v>1</v>
      </c>
      <c r="F23" s="31"/>
      <c r="G23" s="31"/>
      <c r="H23" s="31"/>
      <c r="I23" s="31"/>
      <c r="J23" s="31"/>
      <c r="K23" s="31"/>
    </row>
    <row r="24" spans="1:11" ht="12.75">
      <c r="A24" s="30">
        <f>bar(D24,D11)-C24*(B14+C14)</f>
        <v>0.8944895009664562</v>
      </c>
      <c r="B24" s="31"/>
      <c r="C24" s="31">
        <f>1-bar(D24,D11)</f>
        <v>0.03637677668031791</v>
      </c>
      <c r="D24" s="31">
        <v>1</v>
      </c>
      <c r="E24" s="31"/>
      <c r="F24" s="31"/>
      <c r="G24" s="31"/>
      <c r="H24" s="31"/>
      <c r="I24" s="31"/>
      <c r="J24" s="31"/>
      <c r="K24" s="31"/>
    </row>
    <row r="25" spans="1:11" ht="12.75">
      <c r="A25" s="30">
        <f>bar(C25,C11)-B25*B14</f>
        <v>0.9330077061426456</v>
      </c>
      <c r="B25" s="31">
        <f>1-bar(C25,C11)</f>
        <v>0.03404974643805847</v>
      </c>
      <c r="C25" s="31">
        <v>1</v>
      </c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30">
        <f>bar(B26,B11)</f>
        <v>0.9674828997397472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200" verticalDpi="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1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K13" sqref="K13"/>
    </sheetView>
  </sheetViews>
  <sheetFormatPr defaultColWidth="11.421875" defaultRowHeight="12.75"/>
  <cols>
    <col min="1" max="16384" width="11.421875" style="4" customWidth="1"/>
  </cols>
  <sheetData>
    <row r="1" spans="3:7" s="6" customFormat="1" ht="12.75">
      <c r="C1" s="7"/>
      <c r="E1" s="1"/>
      <c r="G1" s="17"/>
    </row>
    <row r="2" spans="3:4" s="6" customFormat="1" ht="12.75">
      <c r="C2" s="1" t="s">
        <v>14</v>
      </c>
      <c r="D2" s="1"/>
    </row>
    <row r="3" spans="3:4" s="6" customFormat="1" ht="12.75">
      <c r="C3" s="1" t="s">
        <v>10</v>
      </c>
      <c r="D3" s="1"/>
    </row>
    <row r="4" spans="3:4" s="6" customFormat="1" ht="12.75">
      <c r="C4" s="1" t="s">
        <v>15</v>
      </c>
      <c r="D4" s="1"/>
    </row>
    <row r="5" spans="3:4" s="6" customFormat="1" ht="12.75">
      <c r="C5" s="3" t="s">
        <v>13</v>
      </c>
      <c r="D5" s="1"/>
    </row>
    <row r="6" spans="3:4" s="6" customFormat="1" ht="12.75">
      <c r="C6" s="3" t="s">
        <v>12</v>
      </c>
      <c r="D6" s="1"/>
    </row>
    <row r="7" spans="3:5" s="6" customFormat="1" ht="12.75">
      <c r="C7" s="7"/>
      <c r="E7" s="1"/>
    </row>
    <row r="8" spans="3:5" s="8" customFormat="1" ht="12.75">
      <c r="C8" s="89"/>
      <c r="E8" s="56"/>
    </row>
    <row r="9" spans="3:5" s="8" customFormat="1" ht="12.75">
      <c r="C9" s="89"/>
      <c r="E9" s="56"/>
    </row>
    <row r="10" s="8" customFormat="1" ht="12.75">
      <c r="C10" s="16"/>
    </row>
    <row r="11" ht="13.5" thickBot="1"/>
    <row r="12" spans="1:11" ht="12.75">
      <c r="A12" s="18" t="s">
        <v>0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20">
        <v>10</v>
      </c>
    </row>
    <row r="13" spans="1:11" ht="12.75">
      <c r="A13" s="21" t="s">
        <v>3</v>
      </c>
      <c r="B13" s="41">
        <v>0.03361</v>
      </c>
      <c r="C13" s="41">
        <v>0.03525</v>
      </c>
      <c r="D13" s="41">
        <v>0.03775</v>
      </c>
      <c r="E13" s="41">
        <v>0.04002</v>
      </c>
      <c r="F13" s="41">
        <v>0.04205</v>
      </c>
      <c r="G13" s="41">
        <v>0.04365</v>
      </c>
      <c r="H13" s="41">
        <v>0.04525</v>
      </c>
      <c r="I13" s="41">
        <v>0.04632333</v>
      </c>
      <c r="J13" s="41">
        <v>0.04739666</v>
      </c>
      <c r="K13" s="42">
        <v>0.04847</v>
      </c>
    </row>
    <row r="14" spans="1:11" ht="12.75">
      <c r="A14" s="22" t="s">
        <v>1</v>
      </c>
      <c r="B14" s="9">
        <f>Zinsstrukturkurve!B14</f>
        <v>0.9674828997397472</v>
      </c>
      <c r="C14" s="9">
        <f>Zinsstrukturkurve!C14</f>
        <v>0.9330077061426456</v>
      </c>
      <c r="D14" s="9">
        <f>Zinsstrukturkurve!D14</f>
        <v>0.8944895009664562</v>
      </c>
      <c r="E14" s="9">
        <f>Zinsstrukturkurve!E14</f>
        <v>0.8539690545604018</v>
      </c>
      <c r="F14" s="9">
        <f>Zinsstrukturkurve!F14</f>
        <v>0.8124002569576715</v>
      </c>
      <c r="G14" s="9">
        <f>Zinsstrukturkurve!G14</f>
        <v>0.7715825208530487</v>
      </c>
      <c r="H14" s="9">
        <f>Zinsstrukturkurve!H14</f>
        <v>0.7301696529541221</v>
      </c>
      <c r="I14" s="9">
        <f>Zinsstrukturkurve!I14</f>
        <v>0.6917262153776053</v>
      </c>
      <c r="J14" s="9">
        <f>Zinsstrukturkurve!J14</f>
        <v>0.6536047088854828</v>
      </c>
      <c r="K14" s="10">
        <f>Zinsstrukturkurve!K14</f>
        <v>0.6159072514504851</v>
      </c>
    </row>
    <row r="15" spans="1:11" ht="12.75">
      <c r="A15" s="21" t="s">
        <v>2</v>
      </c>
      <c r="B15" s="11">
        <f>Zinsstrukturkurve!B15</f>
        <v>1.03361</v>
      </c>
      <c r="C15" s="11">
        <f>Zinsstrukturkurve!C15</f>
        <v>1.0718025086141272</v>
      </c>
      <c r="D15" s="11">
        <f>Zinsstrukturkurve!D15</f>
        <v>1.117956106717345</v>
      </c>
      <c r="E15" s="11">
        <f>Zinsstrukturkurve!E15</f>
        <v>1.1710026196614005</v>
      </c>
      <c r="F15" s="11">
        <f>Zinsstrukturkurve!F15</f>
        <v>1.2309203393717083</v>
      </c>
      <c r="G15" s="11">
        <f>Zinsstrukturkurve!G15</f>
        <v>1.2960376537488392</v>
      </c>
      <c r="H15" s="11">
        <f>Zinsstrukturkurve!H15</f>
        <v>1.3695447297134271</v>
      </c>
      <c r="I15" s="11">
        <f>Zinsstrukturkurve!I15</f>
        <v>1.44565866923825</v>
      </c>
      <c r="J15" s="11">
        <f>Zinsstrukturkurve!J15</f>
        <v>1.5299767373236728</v>
      </c>
      <c r="K15" s="12">
        <f>Zinsstrukturkurve!K15</f>
        <v>1.623621085228274</v>
      </c>
    </row>
    <row r="16" spans="1:11" ht="13.5" thickBot="1">
      <c r="A16" s="23" t="s">
        <v>4</v>
      </c>
      <c r="B16" s="39">
        <f>Zinsstrukturkurve!B16</f>
        <v>0.03360999999999992</v>
      </c>
      <c r="C16" s="39">
        <f>Zinsstrukturkurve!C16</f>
        <v>0.035278952077229864</v>
      </c>
      <c r="D16" s="39">
        <f>Zinsstrukturkurve!D16</f>
        <v>0.037866715238422</v>
      </c>
      <c r="E16" s="39">
        <f>Zinsstrukturkurve!E16</f>
        <v>0.040254173024349305</v>
      </c>
      <c r="F16" s="39">
        <f>Zinsstrukturkurve!F16</f>
        <v>0.042427811360941314</v>
      </c>
      <c r="G16" s="39">
        <f>Zinsstrukturkurve!G16</f>
        <v>0.04416613355127752</v>
      </c>
      <c r="H16" s="39">
        <f>Zinsstrukturkurve!H16</f>
        <v>0.04594991439089924</v>
      </c>
      <c r="I16" s="39">
        <f>Zinsstrukturkurve!I16</f>
        <v>0.04714836898012509</v>
      </c>
      <c r="J16" s="39">
        <f>Zinsstrukturkurve!J16</f>
        <v>0.048384367158688324</v>
      </c>
      <c r="K16" s="40">
        <f>Zinsstrukturkurve!K16</f>
        <v>0.04965956654634507</v>
      </c>
    </row>
    <row r="18" ht="27.75" customHeight="1">
      <c r="B18" s="13"/>
    </row>
    <row r="20" ht="18">
      <c r="A20" s="14" t="s">
        <v>7</v>
      </c>
    </row>
    <row r="21" spans="1:11" ht="12.75">
      <c r="A21" s="24" t="s">
        <v>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</row>
    <row r="22" ht="12.75">
      <c r="A22" s="26" t="s">
        <v>5</v>
      </c>
    </row>
    <row r="23" spans="1:11" ht="12.75">
      <c r="A23" s="25">
        <v>0</v>
      </c>
      <c r="B23" s="15">
        <f>B14</f>
        <v>0.9674828997397472</v>
      </c>
      <c r="C23" s="15">
        <f>C14</f>
        <v>0.9330077061426456</v>
      </c>
      <c r="D23" s="15">
        <f aca="true" t="shared" si="0" ref="D23:K23">D14</f>
        <v>0.8944895009664562</v>
      </c>
      <c r="E23" s="15">
        <f t="shared" si="0"/>
        <v>0.8539690545604018</v>
      </c>
      <c r="F23" s="15">
        <f t="shared" si="0"/>
        <v>0.8124002569576715</v>
      </c>
      <c r="G23" s="15">
        <f t="shared" si="0"/>
        <v>0.7715825208530487</v>
      </c>
      <c r="H23" s="15">
        <f t="shared" si="0"/>
        <v>0.7301696529541221</v>
      </c>
      <c r="I23" s="15">
        <f t="shared" si="0"/>
        <v>0.6917262153776053</v>
      </c>
      <c r="J23" s="15">
        <f t="shared" si="0"/>
        <v>0.6536047088854828</v>
      </c>
      <c r="K23" s="15">
        <f t="shared" si="0"/>
        <v>0.6159072514504851</v>
      </c>
    </row>
    <row r="24" spans="1:11" ht="12.75">
      <c r="A24" s="25">
        <v>1</v>
      </c>
      <c r="B24" s="15">
        <f>C23/B23</f>
        <v>0.9643660951460998</v>
      </c>
      <c r="C24" s="15">
        <f>D23/B23</f>
        <v>0.9245532930939386</v>
      </c>
      <c r="D24" s="15">
        <f>E23/$B$23</f>
        <v>0.8826709544841769</v>
      </c>
      <c r="E24" s="15">
        <f aca="true" t="shared" si="1" ref="E24:J24">F23/$B$23</f>
        <v>0.8397050295940187</v>
      </c>
      <c r="F24" s="15">
        <f t="shared" si="1"/>
        <v>0.7975154093789195</v>
      </c>
      <c r="G24" s="15">
        <f t="shared" si="1"/>
        <v>0.75471065498991</v>
      </c>
      <c r="H24" s="15">
        <f t="shared" si="1"/>
        <v>0.7149751334764465</v>
      </c>
      <c r="I24" s="15">
        <f t="shared" si="1"/>
        <v>0.6755723631511238</v>
      </c>
      <c r="J24" s="15">
        <f t="shared" si="1"/>
        <v>0.6366078941717358</v>
      </c>
      <c r="K24" s="15"/>
    </row>
    <row r="25" spans="1:11" ht="12.75">
      <c r="A25" s="25">
        <v>2</v>
      </c>
      <c r="B25" s="15">
        <f>D23/$C$23</f>
        <v>0.9587160910648466</v>
      </c>
      <c r="C25" s="15">
        <f aca="true" t="shared" si="2" ref="C25:I25">E23/$C$23</f>
        <v>0.9152861749566732</v>
      </c>
      <c r="D25" s="15">
        <f t="shared" si="2"/>
        <v>0.8707326334059938</v>
      </c>
      <c r="E25" s="15">
        <f t="shared" si="2"/>
        <v>0.8269840814531098</v>
      </c>
      <c r="F25" s="15">
        <f t="shared" si="2"/>
        <v>0.7825976657501347</v>
      </c>
      <c r="G25" s="15">
        <f t="shared" si="2"/>
        <v>0.7413938929158734</v>
      </c>
      <c r="H25" s="15">
        <f t="shared" si="2"/>
        <v>0.7005351666254668</v>
      </c>
      <c r="I25" s="15">
        <f t="shared" si="2"/>
        <v>0.660130937178262</v>
      </c>
      <c r="J25" s="15"/>
      <c r="K25" s="15"/>
    </row>
    <row r="26" spans="1:11" ht="12.75">
      <c r="A26" s="25">
        <v>3</v>
      </c>
      <c r="B26" s="15">
        <f>E23/$D$23</f>
        <v>0.9546999194934387</v>
      </c>
      <c r="C26" s="15">
        <f aca="true" t="shared" si="3" ref="C26:H26">F23/$D$23</f>
        <v>0.908227828364569</v>
      </c>
      <c r="D26" s="15">
        <f t="shared" si="3"/>
        <v>0.8625953910240288</v>
      </c>
      <c r="E26" s="15">
        <f t="shared" si="3"/>
        <v>0.8162976224597451</v>
      </c>
      <c r="F26" s="15">
        <f t="shared" si="3"/>
        <v>0.7733195466578711</v>
      </c>
      <c r="G26" s="15">
        <f t="shared" si="3"/>
        <v>0.730701375677738</v>
      </c>
      <c r="H26" s="15">
        <f t="shared" si="3"/>
        <v>0.688557272930565</v>
      </c>
      <c r="I26" s="15"/>
      <c r="J26" s="15"/>
      <c r="K26" s="15"/>
    </row>
    <row r="27" spans="1:11" ht="12.75">
      <c r="A27" s="25">
        <v>4</v>
      </c>
      <c r="B27" s="15">
        <f aca="true" t="shared" si="4" ref="B27:G27">F23/$E$23</f>
        <v>0.9513228291110282</v>
      </c>
      <c r="C27" s="15">
        <f t="shared" si="4"/>
        <v>0.9035251532038672</v>
      </c>
      <c r="D27" s="15">
        <f t="shared" si="4"/>
        <v>0.8550305764065326</v>
      </c>
      <c r="E27" s="15">
        <f t="shared" si="4"/>
        <v>0.8100132102956419</v>
      </c>
      <c r="F27" s="15">
        <f t="shared" si="4"/>
        <v>0.7653728263279275</v>
      </c>
      <c r="G27" s="15">
        <f t="shared" si="4"/>
        <v>0.721229004916971</v>
      </c>
      <c r="H27" s="15"/>
      <c r="I27" s="15"/>
      <c r="J27" s="15"/>
      <c r="K27" s="15"/>
    </row>
    <row r="28" spans="1:11" ht="12.75">
      <c r="A28" s="25">
        <v>5</v>
      </c>
      <c r="B28" s="15">
        <f>G23/$F$23</f>
        <v>0.9497566184217129</v>
      </c>
      <c r="C28" s="15">
        <f>H23/$F$23</f>
        <v>0.8987806770132104</v>
      </c>
      <c r="D28" s="15">
        <f>I23/$F$23</f>
        <v>0.8514598677849092</v>
      </c>
      <c r="E28" s="15">
        <f>J23/$F$23</f>
        <v>0.8045353300762651</v>
      </c>
      <c r="F28" s="15">
        <f>K23/$F$23</f>
        <v>0.7581327629769272</v>
      </c>
      <c r="G28" s="15"/>
      <c r="H28" s="15"/>
      <c r="I28" s="15"/>
      <c r="J28" s="15"/>
      <c r="K28" s="15"/>
    </row>
    <row r="29" spans="1:11" ht="12.75">
      <c r="A29" s="25">
        <v>6</v>
      </c>
      <c r="B29" s="15">
        <f>H23/$G$23</f>
        <v>0.9463273638532645</v>
      </c>
      <c r="C29" s="15">
        <f>I23/$G$23</f>
        <v>0.8965032212145557</v>
      </c>
      <c r="D29" s="15">
        <f>J23/$G$23</f>
        <v>0.8470963133831342</v>
      </c>
      <c r="E29" s="15">
        <f>K23/$G$23</f>
        <v>0.798238989096783</v>
      </c>
      <c r="F29" s="15"/>
      <c r="G29" s="15"/>
      <c r="H29" s="15"/>
      <c r="I29" s="15"/>
      <c r="J29" s="15"/>
      <c r="K29" s="15"/>
    </row>
    <row r="30" spans="1:11" ht="12.75">
      <c r="A30" s="25">
        <v>7</v>
      </c>
      <c r="B30" s="15">
        <f>I23/$H$23</f>
        <v>0.9473499926750143</v>
      </c>
      <c r="C30" s="15">
        <f>J23/$H$23</f>
        <v>0.8951408843699918</v>
      </c>
      <c r="D30" s="15">
        <f>K23/$H$23</f>
        <v>0.8435125302162944</v>
      </c>
      <c r="E30" s="15"/>
      <c r="F30" s="15"/>
      <c r="G30" s="15"/>
      <c r="H30" s="15"/>
      <c r="I30" s="15"/>
      <c r="J30" s="15"/>
      <c r="K30" s="15"/>
    </row>
    <row r="31" spans="1:11" ht="12.75">
      <c r="A31" s="25">
        <v>8</v>
      </c>
      <c r="B31" s="15">
        <f>J23/$I$23</f>
        <v>0.944889313655241</v>
      </c>
      <c r="C31" s="15">
        <f>K23/$I$23</f>
        <v>0.8903916575060966</v>
      </c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25">
        <v>9</v>
      </c>
      <c r="B32" s="15">
        <f>K23/J23</f>
        <v>0.9423237670682041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25">
        <v>10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41" ht="18">
      <c r="A41" s="14" t="s">
        <v>11</v>
      </c>
    </row>
    <row r="42" spans="1:11" ht="12.75">
      <c r="A42" s="24" t="s">
        <v>6</v>
      </c>
      <c r="B42" s="25">
        <v>1</v>
      </c>
      <c r="C42" s="25">
        <v>2</v>
      </c>
      <c r="D42" s="25">
        <v>3</v>
      </c>
      <c r="E42" s="25">
        <v>4</v>
      </c>
      <c r="F42" s="25">
        <v>5</v>
      </c>
      <c r="G42" s="25">
        <v>6</v>
      </c>
      <c r="H42" s="25">
        <v>7</v>
      </c>
      <c r="I42" s="25">
        <v>8</v>
      </c>
      <c r="J42" s="25">
        <v>9</v>
      </c>
      <c r="K42" s="25">
        <v>10</v>
      </c>
    </row>
    <row r="43" ht="12.75">
      <c r="A43" s="26" t="s">
        <v>5</v>
      </c>
    </row>
    <row r="44" spans="1:11" ht="12.75">
      <c r="A44" s="25">
        <v>0</v>
      </c>
      <c r="B44" s="15">
        <f>B15</f>
        <v>1.03361</v>
      </c>
      <c r="C44" s="15">
        <f aca="true" t="shared" si="5" ref="C44:K44">C15</f>
        <v>1.0718025086141272</v>
      </c>
      <c r="D44" s="15">
        <f t="shared" si="5"/>
        <v>1.117956106717345</v>
      </c>
      <c r="E44" s="15">
        <f t="shared" si="5"/>
        <v>1.1710026196614005</v>
      </c>
      <c r="F44" s="15">
        <f t="shared" si="5"/>
        <v>1.2309203393717083</v>
      </c>
      <c r="G44" s="15">
        <f t="shared" si="5"/>
        <v>1.2960376537488392</v>
      </c>
      <c r="H44" s="15">
        <f t="shared" si="5"/>
        <v>1.3695447297134271</v>
      </c>
      <c r="I44" s="15">
        <f t="shared" si="5"/>
        <v>1.44565866923825</v>
      </c>
      <c r="J44" s="15">
        <f t="shared" si="5"/>
        <v>1.5299767373236728</v>
      </c>
      <c r="K44" s="15">
        <f t="shared" si="5"/>
        <v>1.623621085228274</v>
      </c>
    </row>
    <row r="45" spans="1:11" ht="12.75">
      <c r="A45" s="25">
        <v>1</v>
      </c>
      <c r="B45" s="15">
        <f>C44/$B$44</f>
        <v>1.036950598982331</v>
      </c>
      <c r="C45" s="15">
        <f aca="true" t="shared" si="6" ref="C45:J45">D44/$B$44</f>
        <v>1.0816034159086552</v>
      </c>
      <c r="D45" s="15">
        <f t="shared" si="6"/>
        <v>1.132925010072852</v>
      </c>
      <c r="E45" s="15">
        <f t="shared" si="6"/>
        <v>1.1908943792839741</v>
      </c>
      <c r="F45" s="15">
        <f t="shared" si="6"/>
        <v>1.2538942674208253</v>
      </c>
      <c r="G45" s="15">
        <f t="shared" si="6"/>
        <v>1.3250111064264347</v>
      </c>
      <c r="H45" s="15">
        <f t="shared" si="6"/>
        <v>1.398650041348526</v>
      </c>
      <c r="I45" s="15">
        <f t="shared" si="6"/>
        <v>1.4802263303602645</v>
      </c>
      <c r="J45" s="15">
        <f t="shared" si="6"/>
        <v>1.5708256356152457</v>
      </c>
      <c r="K45" s="15"/>
    </row>
    <row r="46" spans="1:11" ht="12.75">
      <c r="A46" s="25">
        <v>2</v>
      </c>
      <c r="B46" s="15">
        <f>D44/$C$44</f>
        <v>1.0430616626965128</v>
      </c>
      <c r="C46" s="15">
        <f aca="true" t="shared" si="7" ref="C46:I46">E44/$C$44</f>
        <v>1.0925544680573123</v>
      </c>
      <c r="D46" s="15">
        <f t="shared" si="7"/>
        <v>1.1484581622815244</v>
      </c>
      <c r="E46" s="15">
        <f t="shared" si="7"/>
        <v>1.209213118398701</v>
      </c>
      <c r="F46" s="15">
        <f t="shared" si="7"/>
        <v>1.2777957867296743</v>
      </c>
      <c r="G46" s="15">
        <f t="shared" si="7"/>
        <v>1.3488106788512093</v>
      </c>
      <c r="H46" s="15">
        <f t="shared" si="7"/>
        <v>1.427480086141969</v>
      </c>
      <c r="I46" s="15">
        <f t="shared" si="7"/>
        <v>1.5148509843736648</v>
      </c>
      <c r="J46" s="15"/>
      <c r="K46" s="15"/>
    </row>
    <row r="47" spans="1:11" ht="12.75">
      <c r="A47" s="25">
        <v>3</v>
      </c>
      <c r="B47" s="15">
        <f>E44/$D$44</f>
        <v>1.047449548891339</v>
      </c>
      <c r="C47" s="15">
        <f aca="true" t="shared" si="8" ref="C47:H47">F44/$D$44</f>
        <v>1.1010453200940602</v>
      </c>
      <c r="D47" s="15">
        <f t="shared" si="8"/>
        <v>1.1592920741355357</v>
      </c>
      <c r="E47" s="15">
        <f t="shared" si="8"/>
        <v>1.2250433818326034</v>
      </c>
      <c r="F47" s="15">
        <f t="shared" si="8"/>
        <v>1.2931265016147533</v>
      </c>
      <c r="G47" s="15">
        <f t="shared" si="8"/>
        <v>1.3685481282589387</v>
      </c>
      <c r="H47" s="15">
        <f t="shared" si="8"/>
        <v>1.4523120142844548</v>
      </c>
      <c r="I47" s="15"/>
      <c r="J47" s="15"/>
      <c r="K47" s="15"/>
    </row>
    <row r="48" spans="1:11" ht="12.75">
      <c r="A48" s="25">
        <v>4</v>
      </c>
      <c r="B48" s="15">
        <f aca="true" t="shared" si="9" ref="B48:G48">F44/$E$44</f>
        <v>1.0511678784524268</v>
      </c>
      <c r="C48" s="15">
        <f t="shared" si="9"/>
        <v>1.1067760498465775</v>
      </c>
      <c r="D48" s="15">
        <f t="shared" si="9"/>
        <v>1.1695488180115563</v>
      </c>
      <c r="E48" s="15">
        <f t="shared" si="9"/>
        <v>1.234547766986437</v>
      </c>
      <c r="F48" s="15">
        <f t="shared" si="9"/>
        <v>1.3065527878717051</v>
      </c>
      <c r="G48" s="15">
        <f t="shared" si="9"/>
        <v>1.3865221631167228</v>
      </c>
      <c r="H48" s="15"/>
      <c r="I48" s="15"/>
      <c r="J48" s="15"/>
      <c r="K48" s="15"/>
    </row>
    <row r="49" spans="1:11" ht="12.75">
      <c r="A49" s="25">
        <v>5</v>
      </c>
      <c r="B49" s="15">
        <f>G44/$F$44</f>
        <v>1.0529013229323745</v>
      </c>
      <c r="C49" s="15">
        <f>H44/$F$44</f>
        <v>1.112618490334213</v>
      </c>
      <c r="D49" s="15">
        <f>I44/$F$44</f>
        <v>1.1744534743622397</v>
      </c>
      <c r="E49" s="15">
        <f>J44/$F$44</f>
        <v>1.2429534945410117</v>
      </c>
      <c r="F49" s="15">
        <f>K44/$F$44</f>
        <v>1.3190301868413432</v>
      </c>
      <c r="G49" s="15"/>
      <c r="H49" s="15"/>
      <c r="I49" s="15"/>
      <c r="J49" s="15"/>
      <c r="K49" s="15"/>
    </row>
    <row r="50" spans="1:11" ht="12.75">
      <c r="A50" s="25">
        <v>6</v>
      </c>
      <c r="B50" s="15">
        <f>H44/$G$44</f>
        <v>1.0567167749732933</v>
      </c>
      <c r="C50" s="15">
        <f>I44/$G$44</f>
        <v>1.1154449603039127</v>
      </c>
      <c r="D50" s="15">
        <f>J44/$G$44</f>
        <v>1.180503307830722</v>
      </c>
      <c r="E50" s="15">
        <f>K44/$G$44</f>
        <v>1.2527576498505943</v>
      </c>
      <c r="F50" s="15"/>
      <c r="G50" s="15"/>
      <c r="H50" s="15"/>
      <c r="I50" s="15"/>
      <c r="J50" s="15"/>
      <c r="K50" s="15"/>
    </row>
    <row r="51" spans="1:11" ht="12.75">
      <c r="A51" s="25">
        <v>7</v>
      </c>
      <c r="B51" s="15">
        <f>I44/$H$44</f>
        <v>1.055576088807811</v>
      </c>
      <c r="C51" s="15">
        <f>J44/$H$44</f>
        <v>1.117142583319506</v>
      </c>
      <c r="D51" s="15">
        <f>K44/$H$44</f>
        <v>1.1855188443301239</v>
      </c>
      <c r="E51" s="15"/>
      <c r="F51" s="15"/>
      <c r="G51" s="15"/>
      <c r="H51" s="15"/>
      <c r="I51" s="15"/>
      <c r="J51" s="15"/>
      <c r="K51" s="15"/>
    </row>
    <row r="52" spans="1:11" ht="12.75">
      <c r="A52" s="25">
        <v>8</v>
      </c>
      <c r="B52" s="15">
        <f>J44/$I$44</f>
        <v>1.0583250181246808</v>
      </c>
      <c r="C52" s="15">
        <f>K44/$I$44</f>
        <v>1.1231012684922344</v>
      </c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25">
        <v>9</v>
      </c>
      <c r="B53" s="15">
        <f>K44/J44</f>
        <v>1.0612063867509578</v>
      </c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25">
        <v>10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7" ht="18">
      <c r="A57" s="14" t="s">
        <v>8</v>
      </c>
    </row>
    <row r="58" spans="1:11" ht="12.75">
      <c r="A58" s="24" t="s">
        <v>6</v>
      </c>
      <c r="B58" s="25">
        <v>1</v>
      </c>
      <c r="C58" s="25">
        <v>2</v>
      </c>
      <c r="D58" s="25">
        <v>3</v>
      </c>
      <c r="E58" s="25">
        <v>4</v>
      </c>
      <c r="F58" s="25">
        <v>5</v>
      </c>
      <c r="G58" s="25">
        <v>6</v>
      </c>
      <c r="H58" s="25">
        <v>7</v>
      </c>
      <c r="I58" s="25">
        <v>8</v>
      </c>
      <c r="J58" s="25">
        <v>9</v>
      </c>
      <c r="K58" s="25">
        <v>10</v>
      </c>
    </row>
    <row r="59" ht="12.75">
      <c r="A59" s="26" t="s">
        <v>5</v>
      </c>
    </row>
    <row r="60" spans="1:11" ht="12.75">
      <c r="A60" s="25">
        <v>0</v>
      </c>
      <c r="B60" s="38">
        <f>B16</f>
        <v>0.03360999999999992</v>
      </c>
      <c r="C60" s="38">
        <f aca="true" t="shared" si="10" ref="C60:K60">C16</f>
        <v>0.035278952077229864</v>
      </c>
      <c r="D60" s="38">
        <f t="shared" si="10"/>
        <v>0.037866715238422</v>
      </c>
      <c r="E60" s="38">
        <f t="shared" si="10"/>
        <v>0.040254173024349305</v>
      </c>
      <c r="F60" s="38">
        <f t="shared" si="10"/>
        <v>0.042427811360941314</v>
      </c>
      <c r="G60" s="38">
        <f t="shared" si="10"/>
        <v>0.04416613355127752</v>
      </c>
      <c r="H60" s="38">
        <f t="shared" si="10"/>
        <v>0.04594991439089924</v>
      </c>
      <c r="I60" s="38">
        <f t="shared" si="10"/>
        <v>0.04714836898012509</v>
      </c>
      <c r="J60" s="38">
        <f t="shared" si="10"/>
        <v>0.048384367158688324</v>
      </c>
      <c r="K60" s="38">
        <f t="shared" si="10"/>
        <v>0.04965956654634507</v>
      </c>
    </row>
    <row r="61" spans="1:11" ht="12.75">
      <c r="A61" s="25">
        <v>1</v>
      </c>
      <c r="B61" s="38">
        <f>((((1+C60)^2)/(1+$B$60))^(1/1))-1</f>
        <v>0.036950598982331107</v>
      </c>
      <c r="C61" s="38">
        <f>((((1+D60)^3)/(1+$B$60))^(1/2))-1</f>
        <v>0.0400016422624796</v>
      </c>
      <c r="D61" s="38">
        <f>((((1+E60)^4)/(1+$B$60))^(1/3))-1</f>
        <v>0.04247837485914863</v>
      </c>
      <c r="E61" s="38">
        <f>((((1+F60)^5)/(1+$B$60))^(1/4))-1</f>
        <v>0.04464399320532375</v>
      </c>
      <c r="F61" s="38">
        <f>((((1+G60)^6)/(1+$B$60))^(1/5))-1</f>
        <v>0.0462902622107868</v>
      </c>
      <c r="G61" s="38">
        <f>((((1+H60)^7)/(1+$B$60))^(1/6))-1</f>
        <v>0.04802084252010008</v>
      </c>
      <c r="H61" s="38">
        <f>((((1+I60)^8)/(1+$B$60))^(1/7))-1</f>
        <v>0.04909684355665789</v>
      </c>
      <c r="I61" s="38">
        <f>((((1+J60)^9)/(1+$B$60))^(1/8))-1</f>
        <v>0.05024595043604374</v>
      </c>
      <c r="J61" s="38">
        <f>((((1+K60)^10)/(1+$B$60))^(1/9))-1</f>
        <v>0.05145816494713196</v>
      </c>
      <c r="K61" s="38"/>
    </row>
    <row r="62" spans="1:11" ht="12.75">
      <c r="A62" s="25">
        <v>2</v>
      </c>
      <c r="B62" s="38">
        <f>((((1+D60)^3)/(1+$C$60)^2)^(1/1))-1</f>
        <v>0.04306166269651235</v>
      </c>
      <c r="C62" s="38">
        <f>((((1+E60)^4)/(1+$C$60)^2)^(1/2))-1</f>
        <v>0.045253303298923964</v>
      </c>
      <c r="D62" s="38">
        <f>((((1+F60)^5)/(1+$C$60)^2)^(1/3))-1</f>
        <v>0.04722112136541834</v>
      </c>
      <c r="E62" s="38">
        <f>((((1+G60)^6)/(1+$C$60)^2)^(1/4))-1</f>
        <v>0.04863829244206608</v>
      </c>
      <c r="F62" s="38">
        <f>((((1+H60)^7)/(1+$C$60)^2)^(1/5))-1</f>
        <v>0.05024903304771522</v>
      </c>
      <c r="G62" s="38">
        <f>((((1+I60)^8)/(1+$C$60)^2)^(1/6))-1</f>
        <v>0.051135005094441244</v>
      </c>
      <c r="H62" s="38">
        <f>((((1+J60)^9)/(1+$C$60)^2)^(1/7))-1</f>
        <v>0.05215915139549954</v>
      </c>
      <c r="I62" s="38">
        <f>((((1+K60)^10)/(1+$C$60)^2)^(1/8))-1</f>
        <v>0.053285824137713655</v>
      </c>
      <c r="J62" s="38"/>
      <c r="K62" s="38"/>
    </row>
    <row r="63" spans="1:11" ht="12.75">
      <c r="A63" s="25">
        <v>3</v>
      </c>
      <c r="B63" s="38">
        <f>((((1+E60)^4)/(1+$D$60)^3)^(1/1))-1</f>
        <v>0.047449548891339344</v>
      </c>
      <c r="C63" s="38">
        <f>((((1+F60)^5)/(1+$D$60)^3)^(1/2))-1</f>
        <v>0.04930706663686446</v>
      </c>
      <c r="D63" s="38">
        <f>((((1+G60)^6)/(1+$D$60)^3)^(1/3))-1</f>
        <v>0.05050378670729505</v>
      </c>
      <c r="E63" s="38">
        <f>((((1+H60)^7)/(1+$D$60)^3)^(1/4))-1</f>
        <v>0.052053600725612714</v>
      </c>
      <c r="F63" s="38">
        <f>((((1+I60)^8)/(1+$D$60)^3)^(1/5))-1</f>
        <v>0.052757156712917475</v>
      </c>
      <c r="G63" s="38">
        <f>((((1+J60)^9)/(1+$D$60)^3)^(1/6))-1</f>
        <v>0.05368309523346282</v>
      </c>
      <c r="H63" s="38">
        <f>((((1+K60)^10)/(1+$D$60)^3)^(1/7))-1</f>
        <v>0.05475457687644991</v>
      </c>
      <c r="I63" s="38"/>
      <c r="J63" s="38"/>
      <c r="K63" s="38"/>
    </row>
    <row r="64" spans="1:11" ht="12.75">
      <c r="A64" s="25">
        <v>4</v>
      </c>
      <c r="B64" s="38">
        <f>((((1+F60)^5)/(1+$E$60)^4)^(1/1))-1</f>
        <v>0.05116787845242721</v>
      </c>
      <c r="C64" s="38">
        <f>((((1+G60)^6)/(1+$E$60)^4)^(1/2))-1</f>
        <v>0.0520342436663257</v>
      </c>
      <c r="D64" s="38">
        <f>((((1+H60)^7)/(1+$E$60)^4)^(1/3))-1</f>
        <v>0.05359277740887447</v>
      </c>
      <c r="E64" s="38">
        <f>((((1+I60)^8)/(1+$E$60)^4)^(1/4))-1</f>
        <v>0.05408825563256814</v>
      </c>
      <c r="F64" s="38">
        <f>((((1+J60)^9)/(1+$E$60)^4)^(1/5))-1</f>
        <v>0.05493424908054445</v>
      </c>
      <c r="G64" s="38">
        <f>((((1+K60)^10)/(1+$E$60)^4)^(1/6))-1</f>
        <v>0.05597702506555047</v>
      </c>
      <c r="H64" s="38"/>
      <c r="I64" s="38"/>
      <c r="J64" s="38"/>
      <c r="K64" s="38"/>
    </row>
    <row r="65" spans="1:11" ht="12.75">
      <c r="A65" s="25">
        <v>5</v>
      </c>
      <c r="B65" s="38">
        <f>((((1+G60)^6)/(1+$F$60)^5)^(1/1))-1</f>
        <v>0.052901322932374484</v>
      </c>
      <c r="C65" s="38">
        <f>((((1+H60)^7)/(1+$F$60)^5)^(1/2))-1</f>
        <v>0.05480732379625253</v>
      </c>
      <c r="D65" s="38">
        <f>((((1+I60)^8)/(1+$F$60)^5)^(1/3))-1</f>
        <v>0.05506351657068165</v>
      </c>
      <c r="E65" s="38">
        <f>((((1+J60)^9)/(1+$F$60)^5)^(1/4))-1</f>
        <v>0.05587794845101057</v>
      </c>
      <c r="F65" s="38">
        <f>((((1+K60)^10)/(1+$F$60)^5)^(1/5))-1</f>
        <v>0.056941491424548296</v>
      </c>
      <c r="G65" s="38"/>
      <c r="H65" s="38"/>
      <c r="I65" s="38"/>
      <c r="J65" s="38"/>
      <c r="K65" s="38"/>
    </row>
    <row r="66" spans="1:11" ht="12.75">
      <c r="A66" s="25">
        <v>6</v>
      </c>
      <c r="B66" s="38">
        <f>((((1+H60)^7)/(1+$G$60)^6)^(1/1))-1</f>
        <v>0.05671677497329286</v>
      </c>
      <c r="C66" s="38">
        <f>((((1+I60)^8)/(1+$G$60)^6)^(1/2))-1</f>
        <v>0.056146277891425234</v>
      </c>
      <c r="D66" s="38">
        <f>((((1+J60)^9)/(1+$G$60)^6)^(1/3))-1</f>
        <v>0.056872025812242155</v>
      </c>
      <c r="E66" s="38">
        <f>((((1+K60)^10)/(1+$G$60)^6)^(1/4))-1</f>
        <v>0.05795395354662203</v>
      </c>
      <c r="F66" s="38"/>
      <c r="G66" s="38"/>
      <c r="H66" s="38"/>
      <c r="I66" s="38"/>
      <c r="J66" s="38"/>
      <c r="K66" s="38"/>
    </row>
    <row r="67" spans="1:11" ht="12.75">
      <c r="A67" s="25">
        <v>7</v>
      </c>
      <c r="B67" s="38">
        <f>((((1+I60)^8)/(1+$H$60)^7)^(1/1))-1</f>
        <v>0.055576088807810065</v>
      </c>
      <c r="C67" s="38">
        <f>((((1+J60)^9)/(1+$H$60)^7)^(1/2))-1</f>
        <v>0.05694965978494282</v>
      </c>
      <c r="D67" s="38">
        <f>((((1+K60)^10)/(1+$H$60)^7)^(1/3))-1</f>
        <v>0.058366668200451555</v>
      </c>
      <c r="E67" s="38"/>
      <c r="F67" s="38"/>
      <c r="G67" s="38"/>
      <c r="H67" s="38"/>
      <c r="I67" s="38"/>
      <c r="J67" s="38"/>
      <c r="K67" s="38"/>
    </row>
    <row r="68" spans="1:11" ht="12.75">
      <c r="A68" s="25">
        <v>8</v>
      </c>
      <c r="B68" s="38">
        <f>((((1+J60)^9)/(1+$I$60)^8)^(1/1))-1</f>
        <v>0.05832501812468194</v>
      </c>
      <c r="C68" s="38">
        <f>((((1+K60)^10)/(1+$I$60)^8)^(1/2))-1</f>
        <v>0.05976472317785486</v>
      </c>
      <c r="D68" s="38"/>
      <c r="E68" s="38"/>
      <c r="F68" s="38"/>
      <c r="G68" s="38"/>
      <c r="H68" s="38"/>
      <c r="I68" s="38"/>
      <c r="J68" s="38"/>
      <c r="K68" s="38"/>
    </row>
    <row r="69" spans="1:11" ht="12.75">
      <c r="A69" s="25">
        <v>9</v>
      </c>
      <c r="B69" s="38">
        <f>((((1+K60)^10)/(1+$J$60)^9)^(1/1))-1</f>
        <v>0.0612063867509578</v>
      </c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>
      <c r="A70" s="25">
        <v>10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8" ht="18">
      <c r="A78" s="14" t="s">
        <v>9</v>
      </c>
    </row>
    <row r="79" spans="1:11" ht="12.75">
      <c r="A79" s="24" t="s">
        <v>6</v>
      </c>
      <c r="B79" s="25">
        <v>1</v>
      </c>
      <c r="C79" s="25">
        <v>2</v>
      </c>
      <c r="D79" s="25">
        <v>3</v>
      </c>
      <c r="E79" s="25">
        <v>4</v>
      </c>
      <c r="F79" s="25">
        <v>5</v>
      </c>
      <c r="G79" s="25">
        <v>6</v>
      </c>
      <c r="H79" s="25">
        <v>7</v>
      </c>
      <c r="I79" s="25">
        <v>8</v>
      </c>
      <c r="J79" s="25">
        <v>9</v>
      </c>
      <c r="K79" s="25">
        <v>10</v>
      </c>
    </row>
    <row r="80" ht="12.75">
      <c r="A80" s="26" t="s">
        <v>5</v>
      </c>
    </row>
    <row r="81" spans="1:11" ht="12.75">
      <c r="A81" s="25">
        <v>0</v>
      </c>
      <c r="B81" s="38">
        <f>((1-B23)/SUM(B23:B23))</f>
        <v>0.033609999999999876</v>
      </c>
      <c r="C81" s="38">
        <f>((1-C23)/SUM($B23:C23))</f>
        <v>0.035250000000000024</v>
      </c>
      <c r="D81" s="38">
        <f>((1-D23)/SUM($B23:D23))</f>
        <v>0.03774999999999992</v>
      </c>
      <c r="E81" s="38">
        <f>((1-E23)/SUM($B23:E23))</f>
        <v>0.040019999999999986</v>
      </c>
      <c r="F81" s="38">
        <f>((1-F23)/SUM($B23:F23))</f>
        <v>0.04204999999999988</v>
      </c>
      <c r="G81" s="38">
        <f>((1-G23)/SUM($B23:G23))</f>
        <v>0.04364999999999993</v>
      </c>
      <c r="H81" s="38">
        <f>((1-H23)/SUM($B23:H23))</f>
        <v>0.04525000000000005</v>
      </c>
      <c r="I81" s="38">
        <f>((1-I23)/SUM($B23:I23))</f>
        <v>0.04632333000000014</v>
      </c>
      <c r="J81" s="38">
        <f>((1-J23)/SUM($B23:J23))</f>
        <v>0.04739665999999996</v>
      </c>
      <c r="K81" s="38">
        <f>((1-K23)/SUM($B23:K23))</f>
        <v>0.048469999999999965</v>
      </c>
    </row>
    <row r="82" spans="1:11" ht="12.75">
      <c r="A82" s="25">
        <v>1</v>
      </c>
      <c r="B82" s="38">
        <f>((1-B24)/SUM($B24:B24))</f>
        <v>0.036950598982331176</v>
      </c>
      <c r="C82" s="38">
        <f>((1-C24)/SUM($B24:C24))</f>
        <v>0.03994172931665299</v>
      </c>
      <c r="D82" s="38">
        <f>((1-D24)/SUM($B24:D24))</f>
        <v>0.04233275160011548</v>
      </c>
      <c r="E82" s="38">
        <f>((1-E24)/SUM($B24:E24))</f>
        <v>0.04438711151535677</v>
      </c>
      <c r="F82" s="38">
        <f>((1-F24)/SUM($B24:F24))</f>
        <v>0.045927258085486464</v>
      </c>
      <c r="G82" s="38">
        <f>((1-G24)/SUM($B24:G24))</f>
        <v>0.04750427552547719</v>
      </c>
      <c r="H82" s="38">
        <f>((1-H24)/SUM($B24:H24))</f>
        <v>0.04848601391896799</v>
      </c>
      <c r="I82" s="38">
        <f>((1-I24)/SUM($B24:I24))</f>
        <v>0.049500186853359995</v>
      </c>
      <c r="J82" s="38">
        <f>((1-J24)/SUM($B24:J24))</f>
        <v>0.0505365648528658</v>
      </c>
      <c r="K82" s="38"/>
    </row>
    <row r="83" spans="1:11" ht="12.75">
      <c r="A83" s="25">
        <v>2</v>
      </c>
      <c r="B83" s="38">
        <f>((1-B25)/SUM($B25:B25))</f>
        <v>0.04306166269651255</v>
      </c>
      <c r="C83" s="38">
        <f>((1-C25)/SUM($B25:C25))</f>
        <v>0.04520476126380202</v>
      </c>
      <c r="D83" s="38">
        <f>((1-D25)/SUM($B25:D25))</f>
        <v>0.04709648520917931</v>
      </c>
      <c r="E83" s="38">
        <f>((1-E25)/SUM($B25:E25))</f>
        <v>0.048440518269506294</v>
      </c>
      <c r="F83" s="38">
        <f>((1-F25)/SUM($B25:F25))</f>
        <v>0.04992800292052366</v>
      </c>
      <c r="G83" s="38">
        <f>((1-G25)/SUM($B25:G25))</f>
        <v>0.050749763958754</v>
      </c>
      <c r="H83" s="38">
        <f>((1-H25)/SUM($B25:H25))</f>
        <v>0.05166531036730376</v>
      </c>
      <c r="I83" s="38">
        <f>((1-I25)/SUM($B25:I25))</f>
        <v>0.05264083581179865</v>
      </c>
      <c r="J83" s="38"/>
      <c r="K83" s="38"/>
    </row>
    <row r="84" spans="1:11" ht="12.75">
      <c r="A84" s="25">
        <v>3</v>
      </c>
      <c r="B84" s="38">
        <f>((1-B26)/SUM($B26:B26))</f>
        <v>0.04744954889133899</v>
      </c>
      <c r="C84" s="38">
        <f>((1-C26)/SUM($B26:C26))</f>
        <v>0.04926233545071762</v>
      </c>
      <c r="D84" s="38">
        <f>((1-D26)/SUM($B26:D26))</f>
        <v>0.050414031352649685</v>
      </c>
      <c r="E84" s="38">
        <f>((1-E26)/SUM($B26:E26))</f>
        <v>0.05186664992913451</v>
      </c>
      <c r="F84" s="38">
        <f>((1-F26)/SUM($B26:F26))</f>
        <v>0.052531421266162726</v>
      </c>
      <c r="G84" s="38">
        <f>((1-G26)/SUM($B26:G26))</f>
        <v>0.053370407001354474</v>
      </c>
      <c r="H84" s="38">
        <f>((1-H26)/SUM($B26:H26))</f>
        <v>0.05431131133813916</v>
      </c>
      <c r="I84" s="38"/>
      <c r="J84" s="38"/>
      <c r="K84" s="38"/>
    </row>
    <row r="85" spans="1:11" ht="12.75">
      <c r="A85" s="25">
        <v>4</v>
      </c>
      <c r="B85" s="38">
        <f>((1-B27)/SUM($B27:B27))</f>
        <v>0.05116787845242675</v>
      </c>
      <c r="C85" s="38">
        <f>((1-C27)/SUM($B27:C27))</f>
        <v>0.05201226608108869</v>
      </c>
      <c r="D85" s="38">
        <f>((1-D27)/SUM($B27:D27))</f>
        <v>0.0534966495553464</v>
      </c>
      <c r="E85" s="38">
        <f>((1-E27)/SUM($B27:E27))</f>
        <v>0.053975179400874575</v>
      </c>
      <c r="F85" s="38">
        <f>((1-F27)/SUM($B27:F27))</f>
        <v>0.054752085536781944</v>
      </c>
      <c r="G85" s="38">
        <f>((1-G27)/SUM($B27:G27))</f>
        <v>0.055681883837510986</v>
      </c>
      <c r="H85" s="38"/>
      <c r="I85" s="38"/>
      <c r="J85" s="38"/>
      <c r="K85" s="38"/>
    </row>
    <row r="86" spans="1:11" ht="12.75">
      <c r="A86" s="25">
        <v>5</v>
      </c>
      <c r="B86" s="38">
        <f>((1-B28)/SUM($B28:B28))</f>
        <v>0.0529013229323746</v>
      </c>
      <c r="C86" s="38">
        <f>((1-C28)/SUM($B28:C28))</f>
        <v>0.054756440801468784</v>
      </c>
      <c r="D86" s="38">
        <f>((1-D28)/SUM($B28:D28))</f>
        <v>0.055014921585307124</v>
      </c>
      <c r="E86" s="38">
        <f>((1-E28)/SUM($B28:E28))</f>
        <v>0.0557748202642275</v>
      </c>
      <c r="F86" s="38">
        <f>((1-F28)/SUM($B28:F28))</f>
        <v>0.0567408469776359</v>
      </c>
      <c r="G86" s="38"/>
      <c r="H86" s="38"/>
      <c r="I86" s="38"/>
      <c r="J86" s="38"/>
      <c r="K86" s="38"/>
    </row>
    <row r="87" spans="1:11" ht="12.75">
      <c r="A87" s="25">
        <v>6</v>
      </c>
      <c r="B87" s="38">
        <f>((1-B29)/SUM($B29:B29))</f>
        <v>0.0567167749732933</v>
      </c>
      <c r="C87" s="38">
        <f>((1-C29)/SUM($B29:C29))</f>
        <v>0.05616185211167166</v>
      </c>
      <c r="D87" s="38">
        <f>((1-D29)/SUM($B29:D29))</f>
        <v>0.05684306391557269</v>
      </c>
      <c r="E87" s="38">
        <f>((1-E29)/SUM($B29:E29))</f>
        <v>0.057841575603808135</v>
      </c>
      <c r="F87" s="38"/>
      <c r="G87" s="38"/>
      <c r="H87" s="38"/>
      <c r="I87" s="38"/>
      <c r="J87" s="38"/>
      <c r="K87" s="38"/>
    </row>
    <row r="88" spans="1:11" ht="12.75">
      <c r="A88" s="25">
        <v>7</v>
      </c>
      <c r="B88" s="38">
        <f>((1-B30)/SUM($B30:B30))</f>
        <v>0.05557608880781101</v>
      </c>
      <c r="C88" s="38">
        <f>((1-C30)/SUM($B30:C30))</f>
        <v>0.056911606421727094</v>
      </c>
      <c r="D88" s="38">
        <f>((1-D30)/SUM($B30:D30))</f>
        <v>0.05826033926861739</v>
      </c>
      <c r="E88" s="38"/>
      <c r="F88" s="38"/>
      <c r="G88" s="38"/>
      <c r="H88" s="38"/>
      <c r="I88" s="38"/>
      <c r="J88" s="38"/>
      <c r="K88" s="38"/>
    </row>
    <row r="89" spans="1:11" ht="12.75">
      <c r="A89" s="25">
        <v>8</v>
      </c>
      <c r="B89" s="38">
        <f>((1-B31)/SUM($B31:B31))</f>
        <v>0.05832501812468068</v>
      </c>
      <c r="C89" s="38">
        <f>((1-C31)/SUM($B31:C31))</f>
        <v>0.05972292211178156</v>
      </c>
      <c r="D89" s="38"/>
      <c r="E89" s="38"/>
      <c r="F89" s="38"/>
      <c r="G89" s="38"/>
      <c r="H89" s="38"/>
      <c r="I89" s="38"/>
      <c r="J89" s="38"/>
      <c r="K89" s="38"/>
    </row>
    <row r="90" spans="1:11" ht="12.75">
      <c r="A90" s="25">
        <v>9</v>
      </c>
      <c r="B90" s="38">
        <f>((1-B32)/SUM($B32:B32))</f>
        <v>0.061206386750957735</v>
      </c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>
      <c r="A91" s="25">
        <v>10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108"/>
  <sheetViews>
    <sheetView showRowColHeaders="0" tabSelected="1" workbookViewId="0" topLeftCell="A1">
      <selection activeCell="C9" sqref="C9"/>
    </sheetView>
  </sheetViews>
  <sheetFormatPr defaultColWidth="11.421875" defaultRowHeight="12.75"/>
  <cols>
    <col min="1" max="1" width="11.421875" style="4" customWidth="1"/>
    <col min="2" max="2" width="25.7109375" style="4" customWidth="1"/>
    <col min="3" max="4" width="14.7109375" style="4" customWidth="1"/>
    <col min="5" max="5" width="25.7109375" style="4" customWidth="1"/>
    <col min="6" max="14" width="14.7109375" style="4" customWidth="1"/>
    <col min="15" max="16384" width="11.421875" style="4" customWidth="1"/>
  </cols>
  <sheetData>
    <row r="1" spans="1:13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2.75">
      <c r="A2" s="1"/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2.75">
      <c r="A3" s="1"/>
      <c r="C3" s="1" t="s">
        <v>10</v>
      </c>
      <c r="D3" s="1"/>
      <c r="E3" s="1"/>
      <c r="F3" s="7"/>
      <c r="G3" s="7"/>
      <c r="H3" s="1"/>
      <c r="I3" s="1"/>
      <c r="J3" s="1"/>
      <c r="K3" s="1"/>
      <c r="L3" s="1"/>
      <c r="M3" s="1"/>
    </row>
    <row r="4" spans="1:13" s="2" customFormat="1" ht="12.75">
      <c r="A4" s="1"/>
      <c r="C4" s="1" t="s">
        <v>15</v>
      </c>
      <c r="D4" s="1"/>
      <c r="E4" s="1"/>
      <c r="F4" s="7"/>
      <c r="G4" s="7"/>
      <c r="H4" s="1"/>
      <c r="I4" s="1"/>
      <c r="J4" s="1"/>
      <c r="K4" s="1"/>
      <c r="L4" s="1"/>
      <c r="M4" s="1"/>
    </row>
    <row r="5" spans="1:13" s="2" customFormat="1" ht="12.75">
      <c r="A5" s="1"/>
      <c r="C5" s="55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12.75">
      <c r="A6" s="1"/>
      <c r="C6" s="55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="5" customFormat="1" ht="15"/>
    <row r="9" spans="2:9" s="5" customFormat="1" ht="15">
      <c r="B9" s="51" t="s">
        <v>51</v>
      </c>
      <c r="C9" s="86">
        <v>0.145</v>
      </c>
      <c r="E9" s="51" t="s">
        <v>38</v>
      </c>
      <c r="F9" s="88">
        <v>1</v>
      </c>
      <c r="G9" s="46" t="s">
        <v>35</v>
      </c>
      <c r="H9" s="43" t="s">
        <v>40</v>
      </c>
      <c r="I9" s="84">
        <f>IF(F$10=1,D104,IF(F$10=2,E104,IF(F$10=3,F104,IF(F$10=4,G104,IF(F$10=5,H104)))))</f>
        <v>0.03994172931665299</v>
      </c>
    </row>
    <row r="10" spans="2:14" s="5" customFormat="1" ht="15">
      <c r="B10" s="51" t="s">
        <v>27</v>
      </c>
      <c r="C10" s="87">
        <v>1000000</v>
      </c>
      <c r="E10" s="51" t="s">
        <v>39</v>
      </c>
      <c r="F10" s="88">
        <v>2</v>
      </c>
      <c r="G10" s="46" t="s">
        <v>35</v>
      </c>
      <c r="H10" s="43" t="s">
        <v>41</v>
      </c>
      <c r="I10" s="84">
        <f>IF(F$10=1,D105,IF(F$10=2,E105,IF(F$10=3,F105,IF(F$10=4,G105,IF(F$10=5,H105)))))</f>
        <v>0.04520476126380202</v>
      </c>
      <c r="J10" s="52"/>
      <c r="K10" s="52"/>
      <c r="L10" s="52"/>
      <c r="M10" s="52"/>
      <c r="N10" s="52"/>
    </row>
    <row r="11" spans="2:14" s="5" customFormat="1" ht="15">
      <c r="B11" s="51" t="s">
        <v>32</v>
      </c>
      <c r="C11" s="86">
        <v>0.05</v>
      </c>
      <c r="D11" s="46"/>
      <c r="E11" s="53" t="s">
        <v>37</v>
      </c>
      <c r="F11" s="85">
        <f>F9+F10</f>
        <v>3</v>
      </c>
      <c r="G11" s="53" t="s">
        <v>0</v>
      </c>
      <c r="H11" s="43" t="s">
        <v>42</v>
      </c>
      <c r="I11" s="84">
        <f>IF(F$10=1,D106,IF(F$10=2,E106,IF(F$10=3,F106,IF(F$10=4,G106,IF(F$10=5,H106)))))</f>
        <v>0.04926233545071762</v>
      </c>
      <c r="J11" s="53"/>
      <c r="K11" s="53"/>
      <c r="L11" s="53"/>
      <c r="M11" s="53"/>
      <c r="N11" s="53"/>
    </row>
    <row r="12" spans="5:14" s="5" customFormat="1" ht="15">
      <c r="E12" s="53"/>
      <c r="F12" s="53"/>
      <c r="G12" s="53"/>
      <c r="H12" s="43" t="s">
        <v>43</v>
      </c>
      <c r="I12" s="84">
        <f>IF(F$10=1,D107,IF(F$10=2,E107,IF(F$10=3,F107,IF(F$10=4,G107,IF(F$10=5,H107)))))</f>
        <v>0.05201226608108869</v>
      </c>
      <c r="J12" s="53"/>
      <c r="K12" s="53"/>
      <c r="L12" s="53"/>
      <c r="M12" s="53"/>
      <c r="N12" s="53"/>
    </row>
    <row r="13" spans="5:14" s="5" customFormat="1" ht="15.75" thickBot="1">
      <c r="E13" s="53"/>
      <c r="F13" s="53"/>
      <c r="G13" s="53"/>
      <c r="H13" s="43" t="s">
        <v>44</v>
      </c>
      <c r="I13" s="84">
        <f>IF(F$10=1,D108,IF(F$10=2,E108,IF(F$10=3,F108,IF(F$10=4,G108,IF(F$10=5,H108)))))</f>
        <v>0.054756440801468784</v>
      </c>
      <c r="J13" s="53"/>
      <c r="K13" s="53"/>
      <c r="L13" s="53"/>
      <c r="M13" s="53"/>
      <c r="N13" s="53"/>
    </row>
    <row r="14" spans="2:6" s="5" customFormat="1" ht="15.75">
      <c r="B14" s="75"/>
      <c r="C14" s="76"/>
      <c r="D14" s="77"/>
      <c r="E14" s="76"/>
      <c r="F14" s="78"/>
    </row>
    <row r="15" spans="2:6" s="5" customFormat="1" ht="16.5" thickBot="1">
      <c r="B15" s="79" t="s">
        <v>21</v>
      </c>
      <c r="C15" s="82">
        <f>C28</f>
        <v>309.5075679875626</v>
      </c>
      <c r="D15" s="80"/>
      <c r="E15" s="81" t="s">
        <v>22</v>
      </c>
      <c r="F15" s="83">
        <f>F28</f>
        <v>18690.96915015158</v>
      </c>
    </row>
    <row r="16" spans="1:4" s="5" customFormat="1" ht="15.75" thickBot="1">
      <c r="A16" s="48"/>
      <c r="B16" s="48"/>
      <c r="C16" s="48"/>
      <c r="D16" s="54"/>
    </row>
    <row r="17" spans="2:6" s="47" customFormat="1" ht="15.75">
      <c r="B17" s="58"/>
      <c r="C17" s="59"/>
      <c r="D17" s="74" t="s">
        <v>36</v>
      </c>
      <c r="E17" s="59"/>
      <c r="F17" s="60"/>
    </row>
    <row r="18" spans="2:6" s="47" customFormat="1" ht="12.75">
      <c r="B18" s="61"/>
      <c r="C18" s="33"/>
      <c r="D18" s="33"/>
      <c r="E18" s="33"/>
      <c r="F18" s="62"/>
    </row>
    <row r="19" spans="2:9" s="47" customFormat="1" ht="12.75">
      <c r="B19" s="61" t="s">
        <v>26</v>
      </c>
      <c r="C19" s="67">
        <f>IF(F9=1,C64,IF(F9=2,D64,IF(F9=3,E64,IF(F9=4,F64,IF(F9=5,G64)))))</f>
        <v>1.827497207109102</v>
      </c>
      <c r="D19" s="49"/>
      <c r="E19" s="33" t="s">
        <v>26</v>
      </c>
      <c r="F19" s="68">
        <f>C19</f>
        <v>1.827497207109102</v>
      </c>
      <c r="I19" s="45"/>
    </row>
    <row r="20" spans="2:9" s="47" customFormat="1" ht="12.75">
      <c r="B20" s="61" t="s">
        <v>17</v>
      </c>
      <c r="C20" s="63">
        <f>IF(F9=1,I9,IF(F9=2,I10,IF(F9=3,I11,IF(F9=4,I12,IF(F9=5,I13)))))</f>
        <v>0.03994172931665299</v>
      </c>
      <c r="D20" s="49"/>
      <c r="E20" s="33" t="s">
        <v>17</v>
      </c>
      <c r="F20" s="64">
        <f>C20</f>
        <v>0.03994172931665299</v>
      </c>
      <c r="I20" s="45"/>
    </row>
    <row r="21" spans="2:9" s="47" customFormat="1" ht="12.75">
      <c r="B21" s="61" t="s">
        <v>34</v>
      </c>
      <c r="C21" s="63">
        <f>C11</f>
        <v>0.05</v>
      </c>
      <c r="D21" s="33"/>
      <c r="E21" s="33" t="s">
        <v>34</v>
      </c>
      <c r="F21" s="64">
        <f>C11</f>
        <v>0.05</v>
      </c>
      <c r="I21" s="45"/>
    </row>
    <row r="22" spans="1:9" s="47" customFormat="1" ht="12.75">
      <c r="A22" s="37"/>
      <c r="B22" s="61" t="s">
        <v>19</v>
      </c>
      <c r="C22" s="65">
        <f>C9</f>
        <v>0.145</v>
      </c>
      <c r="D22" s="33"/>
      <c r="E22" s="33" t="s">
        <v>19</v>
      </c>
      <c r="F22" s="66">
        <f>C9</f>
        <v>0.145</v>
      </c>
      <c r="I22" s="45"/>
    </row>
    <row r="23" spans="2:9" s="47" customFormat="1" ht="12.75">
      <c r="B23" s="61" t="s">
        <v>18</v>
      </c>
      <c r="C23" s="67">
        <f>((LN(C20/C21))+(C22^2)/2)/C22</f>
        <v>-1.4764750380322957</v>
      </c>
      <c r="D23" s="33"/>
      <c r="E23" s="33" t="s">
        <v>18</v>
      </c>
      <c r="F23" s="68">
        <f>((LN(F20/F21))+(F22^2)/2)/F22</f>
        <v>-1.4764750380322957</v>
      </c>
      <c r="I23" s="45"/>
    </row>
    <row r="24" spans="2:9" s="47" customFormat="1" ht="12.75">
      <c r="B24" s="61" t="s">
        <v>20</v>
      </c>
      <c r="C24" s="67">
        <f>C23-C22*(SQRT(F9))</f>
        <v>-1.6214750380322958</v>
      </c>
      <c r="D24" s="33"/>
      <c r="E24" s="33" t="s">
        <v>20</v>
      </c>
      <c r="F24" s="68">
        <f>F23-F22*(SQRT(F9))</f>
        <v>-1.6214750380322958</v>
      </c>
      <c r="I24" s="45"/>
    </row>
    <row r="25" spans="2:9" s="47" customFormat="1" ht="12.75">
      <c r="B25" s="61" t="s">
        <v>30</v>
      </c>
      <c r="C25" s="67">
        <f>NORMSDIST(C23)</f>
        <v>0.0699082397768499</v>
      </c>
      <c r="D25" s="33"/>
      <c r="E25" s="33" t="s">
        <v>23</v>
      </c>
      <c r="F25" s="68">
        <f>NORMSDIST(-F23)</f>
        <v>0.9300917602231501</v>
      </c>
      <c r="I25" s="45"/>
    </row>
    <row r="26" spans="2:9" s="47" customFormat="1" ht="12.75">
      <c r="B26" s="61" t="s">
        <v>31</v>
      </c>
      <c r="C26" s="67">
        <f>NORMSDIST(C24)</f>
        <v>0.05245789090058761</v>
      </c>
      <c r="D26" s="33"/>
      <c r="E26" s="33" t="s">
        <v>24</v>
      </c>
      <c r="F26" s="68">
        <f>NORMSDIST(-F24)</f>
        <v>0.9475421090994124</v>
      </c>
      <c r="I26" s="45"/>
    </row>
    <row r="27" spans="2:9" s="47" customFormat="1" ht="12.75">
      <c r="B27" s="61" t="s">
        <v>28</v>
      </c>
      <c r="C27" s="67">
        <f>(C20*C25-C21*C26)</f>
        <v>0.00016936144514123185</v>
      </c>
      <c r="D27" s="33"/>
      <c r="E27" s="33" t="s">
        <v>25</v>
      </c>
      <c r="F27" s="68">
        <f>(F21*F26-F20*F25)</f>
        <v>0.010227632128488241</v>
      </c>
      <c r="I27" s="45"/>
    </row>
    <row r="28" spans="1:9" s="47" customFormat="1" ht="13.5" thickBot="1">
      <c r="A28" s="37"/>
      <c r="B28" s="69" t="s">
        <v>21</v>
      </c>
      <c r="C28" s="57">
        <f>C19*C10*C27</f>
        <v>309.5075679875626</v>
      </c>
      <c r="D28" s="33"/>
      <c r="E28" s="50" t="s">
        <v>29</v>
      </c>
      <c r="F28" s="70">
        <f>F19*C10*F27</f>
        <v>18690.96915015158</v>
      </c>
      <c r="I28" s="45"/>
    </row>
    <row r="29" spans="2:9" s="47" customFormat="1" ht="14.25" thickBot="1" thickTop="1">
      <c r="B29" s="71"/>
      <c r="C29" s="72"/>
      <c r="D29" s="72"/>
      <c r="E29" s="72"/>
      <c r="F29" s="73"/>
      <c r="G29" s="45"/>
      <c r="H29" s="45"/>
      <c r="I29" s="45"/>
    </row>
    <row r="30" spans="6:9" s="47" customFormat="1" ht="12.75">
      <c r="F30" s="45"/>
      <c r="G30" s="45"/>
      <c r="H30" s="45"/>
      <c r="I30" s="45"/>
    </row>
    <row r="31" s="47" customFormat="1" ht="12.75"/>
    <row r="36" s="8" customFormat="1" ht="12.75"/>
    <row r="37" s="8" customFormat="1" ht="15.75">
      <c r="B37" s="90" t="s">
        <v>45</v>
      </c>
    </row>
    <row r="38" s="8" customFormat="1" ht="12.75"/>
    <row r="39" s="8" customFormat="1" ht="12.75"/>
    <row r="40" spans="2:6" s="8" customFormat="1" ht="12.75">
      <c r="B40" s="44" t="s">
        <v>46</v>
      </c>
      <c r="C40" s="44" t="s">
        <v>47</v>
      </c>
      <c r="D40" s="8" t="s">
        <v>48</v>
      </c>
      <c r="E40" s="44" t="s">
        <v>49</v>
      </c>
      <c r="F40" s="44" t="s">
        <v>0</v>
      </c>
    </row>
    <row r="41" spans="2:6" s="8" customFormat="1" ht="12.75">
      <c r="B41" s="91">
        <f>'Swap-Zinssätze'!B13</f>
        <v>0.03361</v>
      </c>
      <c r="C41" s="91">
        <f>'Swap-Zinssätze'!B16</f>
        <v>0.03360999999999992</v>
      </c>
      <c r="D41" s="91">
        <f>LN(1+C41)</f>
        <v>0.03305752892199913</v>
      </c>
      <c r="E41" s="92">
        <f aca="true" t="shared" si="0" ref="E41:E50">EXP(1)^(-D41*F41)</f>
        <v>0.9674828997397472</v>
      </c>
      <c r="F41" s="8">
        <v>1</v>
      </c>
    </row>
    <row r="42" spans="2:6" s="8" customFormat="1" ht="12.75">
      <c r="B42" s="91">
        <f>'Swap-Zinssätze'!C13</f>
        <v>0.03525</v>
      </c>
      <c r="C42" s="91">
        <f>'Swap-Zinssätze'!C16</f>
        <v>0.035278952077229864</v>
      </c>
      <c r="D42" s="91">
        <f aca="true" t="shared" si="1" ref="D42:D50">LN(1+C42)</f>
        <v>0.03467090931883218</v>
      </c>
      <c r="E42" s="92">
        <f t="shared" si="0"/>
        <v>0.9330077061426456</v>
      </c>
      <c r="F42" s="8">
        <v>2</v>
      </c>
    </row>
    <row r="43" spans="2:6" s="8" customFormat="1" ht="12.75">
      <c r="B43" s="91">
        <f>'Swap-Zinssätze'!D13</f>
        <v>0.03775</v>
      </c>
      <c r="C43" s="91">
        <f>'Swap-Zinssätze'!D16</f>
        <v>0.037866715238422</v>
      </c>
      <c r="D43" s="91">
        <f t="shared" si="1"/>
        <v>0.037167371141048185</v>
      </c>
      <c r="E43" s="92">
        <f t="shared" si="0"/>
        <v>0.8944895009664563</v>
      </c>
      <c r="F43" s="8">
        <v>3</v>
      </c>
    </row>
    <row r="44" spans="2:6" s="8" customFormat="1" ht="12.75">
      <c r="B44" s="91">
        <f>'Swap-Zinssätze'!E13</f>
        <v>0.04002</v>
      </c>
      <c r="C44" s="91">
        <f>'Swap-Zinssätze'!E16</f>
        <v>0.040254173024349305</v>
      </c>
      <c r="D44" s="91">
        <f t="shared" si="1"/>
        <v>0.03946508043196303</v>
      </c>
      <c r="E44" s="92">
        <f t="shared" si="0"/>
        <v>0.8539690545604018</v>
      </c>
      <c r="F44" s="8">
        <v>4</v>
      </c>
    </row>
    <row r="45" spans="2:6" s="8" customFormat="1" ht="12.75">
      <c r="B45" s="91">
        <f>'Swap-Zinssätze'!F13</f>
        <v>0.04205</v>
      </c>
      <c r="C45" s="91">
        <f>'Swap-Zinssätze'!F16</f>
        <v>0.042427811360941314</v>
      </c>
      <c r="D45" s="91">
        <f t="shared" si="1"/>
        <v>0.04155242659628672</v>
      </c>
      <c r="E45" s="92">
        <f t="shared" si="0"/>
        <v>0.8124002569576712</v>
      </c>
      <c r="F45" s="8">
        <v>5</v>
      </c>
    </row>
    <row r="46" spans="2:6" s="8" customFormat="1" ht="12.75">
      <c r="B46" s="91">
        <f>'Swap-Zinssätze'!G13</f>
        <v>0.04365</v>
      </c>
      <c r="C46" s="91">
        <f>'Swap-Zinssätze'!G16</f>
        <v>0.04416613355127752</v>
      </c>
      <c r="D46" s="91">
        <f t="shared" si="1"/>
        <v>0.0432186085544297</v>
      </c>
      <c r="E46" s="92">
        <f t="shared" si="0"/>
        <v>0.7715825208530483</v>
      </c>
      <c r="F46" s="8">
        <v>6</v>
      </c>
    </row>
    <row r="47" spans="2:6" s="8" customFormat="1" ht="12.75">
      <c r="B47" s="91">
        <f>'Swap-Zinssätze'!H13</f>
        <v>0.04525</v>
      </c>
      <c r="C47" s="91">
        <f>'Swap-Zinssätze'!H16</f>
        <v>0.04594991439089924</v>
      </c>
      <c r="D47" s="91">
        <f t="shared" si="1"/>
        <v>0.044925481504812</v>
      </c>
      <c r="E47" s="92">
        <f t="shared" si="0"/>
        <v>0.7301696529541222</v>
      </c>
      <c r="F47" s="8">
        <v>7</v>
      </c>
    </row>
    <row r="48" spans="2:6" s="8" customFormat="1" ht="12.75">
      <c r="B48" s="91">
        <f>'Swap-Zinssätze'!I13</f>
        <v>0.04632333</v>
      </c>
      <c r="C48" s="91">
        <f>'Swap-Zinssätze'!I16</f>
        <v>0.04714836898012509</v>
      </c>
      <c r="D48" s="91">
        <f t="shared" si="1"/>
        <v>0.04607063052119113</v>
      </c>
      <c r="E48" s="92">
        <f t="shared" si="0"/>
        <v>0.6917262153776057</v>
      </c>
      <c r="F48" s="8">
        <v>8</v>
      </c>
    </row>
    <row r="49" spans="2:6" s="8" customFormat="1" ht="12.75">
      <c r="B49" s="91">
        <f>'Swap-Zinssätze'!J13</f>
        <v>0.04739666</v>
      </c>
      <c r="C49" s="91">
        <f>'Swap-Zinssätze'!J16</f>
        <v>0.048384367158688324</v>
      </c>
      <c r="D49" s="91">
        <f t="shared" si="1"/>
        <v>0.04725028121390496</v>
      </c>
      <c r="E49" s="92">
        <f t="shared" si="0"/>
        <v>0.6536047088854825</v>
      </c>
      <c r="F49" s="8">
        <v>9</v>
      </c>
    </row>
    <row r="50" spans="2:6" s="8" customFormat="1" ht="12.75">
      <c r="B50" s="91">
        <f>'Swap-Zinssätze'!K13</f>
        <v>0.04847</v>
      </c>
      <c r="C50" s="91">
        <f>'Swap-Zinssätze'!K16</f>
        <v>0.04965956654634507</v>
      </c>
      <c r="D50" s="91">
        <f t="shared" si="1"/>
        <v>0.04846588926119241</v>
      </c>
      <c r="E50" s="92">
        <f t="shared" si="0"/>
        <v>0.615907251450485</v>
      </c>
      <c r="F50" s="8">
        <v>10</v>
      </c>
    </row>
    <row r="51" s="8" customFormat="1" ht="12.75"/>
    <row r="52" s="8" customFormat="1" ht="12.75"/>
    <row r="53" s="8" customFormat="1" ht="12.75"/>
    <row r="54" s="8" customFormat="1" ht="12.75">
      <c r="C54" s="8" t="s">
        <v>50</v>
      </c>
    </row>
    <row r="55" spans="3:7" s="8" customFormat="1" ht="12.75">
      <c r="C55" s="8">
        <v>1</v>
      </c>
      <c r="D55" s="8">
        <v>2</v>
      </c>
      <c r="E55" s="8">
        <v>3</v>
      </c>
      <c r="F55" s="8">
        <v>4</v>
      </c>
      <c r="G55" s="8">
        <v>5</v>
      </c>
    </row>
    <row r="56" s="8" customFormat="1" ht="12.75">
      <c r="B56" s="8" t="s">
        <v>6</v>
      </c>
    </row>
    <row r="57" spans="2:7" s="8" customFormat="1" ht="12.75">
      <c r="B57" s="8">
        <v>1</v>
      </c>
      <c r="C57" s="92">
        <f>E42</f>
        <v>0.9330077061426456</v>
      </c>
      <c r="D57" s="92">
        <f>E43</f>
        <v>0.8944895009664563</v>
      </c>
      <c r="E57" s="92">
        <f>E44</f>
        <v>0.8539690545604018</v>
      </c>
      <c r="F57" s="92">
        <f>E45</f>
        <v>0.8124002569576712</v>
      </c>
      <c r="G57" s="92">
        <f>E46</f>
        <v>0.7715825208530483</v>
      </c>
    </row>
    <row r="58" spans="2:7" s="8" customFormat="1" ht="12.75">
      <c r="B58" s="8">
        <v>2</v>
      </c>
      <c r="C58" s="92">
        <f>C57+E43</f>
        <v>1.827497207109102</v>
      </c>
      <c r="D58" s="92">
        <f>SUM(E43:E44)</f>
        <v>1.7484585555268581</v>
      </c>
      <c r="E58" s="92">
        <f>SUM(E44:E45)</f>
        <v>1.666369311518073</v>
      </c>
      <c r="F58" s="92">
        <f>SUM(E45:E46)</f>
        <v>1.5839827778107196</v>
      </c>
      <c r="G58" s="92">
        <f>SUM(E46:E47)</f>
        <v>1.5017521738071706</v>
      </c>
    </row>
    <row r="59" spans="2:7" s="8" customFormat="1" ht="12.75">
      <c r="B59" s="8">
        <v>3</v>
      </c>
      <c r="C59" s="92">
        <f>C58+E44</f>
        <v>2.6814662616695037</v>
      </c>
      <c r="D59" s="92">
        <f>SUM(E43:E45)</f>
        <v>2.560858812484529</v>
      </c>
      <c r="E59" s="92">
        <f>SUM(E44:E46)</f>
        <v>2.4379518323711213</v>
      </c>
      <c r="F59" s="92">
        <f>SUM(E45:E47)</f>
        <v>2.3141524307648416</v>
      </c>
      <c r="G59" s="92">
        <f>SUM(E46:E48)</f>
        <v>2.1934783891847762</v>
      </c>
    </row>
    <row r="60" spans="2:7" s="8" customFormat="1" ht="12.75">
      <c r="B60" s="8">
        <v>4</v>
      </c>
      <c r="C60" s="92">
        <f>C59+E45</f>
        <v>3.4938665186271747</v>
      </c>
      <c r="D60" s="92">
        <f>SUM(E43:E46)</f>
        <v>3.3324413333375773</v>
      </c>
      <c r="E60" s="92">
        <f>SUM(E44:E47)</f>
        <v>3.1681214853252433</v>
      </c>
      <c r="F60" s="92">
        <f>SUM(E45:E48)</f>
        <v>3.005878646142447</v>
      </c>
      <c r="G60" s="92">
        <f>SUM(E46:E49)</f>
        <v>2.8470830980702586</v>
      </c>
    </row>
    <row r="61" spans="2:7" s="8" customFormat="1" ht="12.75">
      <c r="B61" s="8">
        <v>5</v>
      </c>
      <c r="C61" s="92">
        <f>C60+E46</f>
        <v>4.265449039480223</v>
      </c>
      <c r="D61" s="92">
        <f>SUM(E43:E47)</f>
        <v>4.062610986291699</v>
      </c>
      <c r="E61" s="92">
        <f>SUM(E44:E48)</f>
        <v>3.859847700702849</v>
      </c>
      <c r="F61" s="92">
        <f>SUM(E45:E49)</f>
        <v>3.6594833550279295</v>
      </c>
      <c r="G61" s="92">
        <f>SUM(E46:E50)</f>
        <v>3.4629903495207435</v>
      </c>
    </row>
    <row r="62" s="8" customFormat="1" ht="12.75"/>
    <row r="63" s="8" customFormat="1" ht="12.75"/>
    <row r="64" spans="2:7" s="8" customFormat="1" ht="12.75">
      <c r="B64" s="8" t="s">
        <v>6</v>
      </c>
      <c r="C64" s="8">
        <f>IF($F10=1,C57,IF($F10=2,C58,IF($F10=3,C59,IF($F10=4,C60,IF($F10=5,C61)))))</f>
        <v>1.827497207109102</v>
      </c>
      <c r="D64" s="8">
        <f>IF($F10=1,D57,IF($F10=2,D58,IF($F10=3,D59,IF($F10=4,D60,IF($F10=5,D61)))))</f>
        <v>1.7484585555268581</v>
      </c>
      <c r="E64" s="8">
        <f>IF($F10=1,E57,IF($F10=2,E58,IF($F10=3,E59,IF($F10=4,E60,IF($F10=5,E61)))))</f>
        <v>1.666369311518073</v>
      </c>
      <c r="F64" s="8">
        <f>IF($F10=1,F57,IF($F10=2,F58,IF($F10=3,F59,IF($F10=4,F60,IF($F10=5,F61)))))</f>
        <v>1.5839827778107196</v>
      </c>
      <c r="G64" s="8">
        <f>IF($F10=1,G57,IF($F10=2,G58,IF($F10=3,G59,IF($F10=4,G60,IF($F10=5,G61)))))</f>
        <v>1.5017521738071706</v>
      </c>
    </row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99" s="8" customFormat="1" ht="12.75"/>
    <row r="100" s="8" customFormat="1" ht="12.75"/>
    <row r="101" spans="3:8" s="8" customFormat="1" ht="12.75">
      <c r="C101" s="8" t="str">
        <f>'Swap-Zinssätze'!A79</f>
        <v>Laufzeit</v>
      </c>
      <c r="D101" s="8">
        <f>'Swap-Zinssätze'!B79</f>
        <v>1</v>
      </c>
      <c r="E101" s="8">
        <f>'Swap-Zinssätze'!C79</f>
        <v>2</v>
      </c>
      <c r="F101" s="8">
        <f>'Swap-Zinssätze'!D79</f>
        <v>3</v>
      </c>
      <c r="G101" s="8">
        <f>'Swap-Zinssätze'!E79</f>
        <v>4</v>
      </c>
      <c r="H101" s="8">
        <f>'Swap-Zinssätze'!F79</f>
        <v>5</v>
      </c>
    </row>
    <row r="102" s="8" customFormat="1" ht="12.75">
      <c r="C102" s="8" t="str">
        <f>'Swap-Zinssätze'!A80</f>
        <v>Beginn</v>
      </c>
    </row>
    <row r="103" s="8" customFormat="1" ht="12.75">
      <c r="C103" s="8">
        <f>'Swap-Zinssätze'!A81</f>
        <v>0</v>
      </c>
    </row>
    <row r="104" spans="3:8" s="8" customFormat="1" ht="12.75">
      <c r="C104" s="8">
        <f>'Swap-Zinssätze'!A82</f>
        <v>1</v>
      </c>
      <c r="D104" s="8">
        <f>'Swap-Zinssätze'!B82</f>
        <v>0.036950598982331176</v>
      </c>
      <c r="E104" s="8">
        <f>'Swap-Zinssätze'!C82</f>
        <v>0.03994172931665299</v>
      </c>
      <c r="F104" s="8">
        <f>'Swap-Zinssätze'!D82</f>
        <v>0.04233275160011548</v>
      </c>
      <c r="G104" s="8">
        <f>'Swap-Zinssätze'!E82</f>
        <v>0.04438711151535677</v>
      </c>
      <c r="H104" s="8">
        <f>'Swap-Zinssätze'!F82</f>
        <v>0.045927258085486464</v>
      </c>
    </row>
    <row r="105" spans="3:8" s="8" customFormat="1" ht="12.75">
      <c r="C105" s="8">
        <f>'Swap-Zinssätze'!A83</f>
        <v>2</v>
      </c>
      <c r="D105" s="8">
        <f>'Swap-Zinssätze'!B83</f>
        <v>0.04306166269651255</v>
      </c>
      <c r="E105" s="8">
        <f>'Swap-Zinssätze'!C83</f>
        <v>0.04520476126380202</v>
      </c>
      <c r="F105" s="8">
        <f>'Swap-Zinssätze'!D83</f>
        <v>0.04709648520917931</v>
      </c>
      <c r="G105" s="8">
        <f>'Swap-Zinssätze'!E83</f>
        <v>0.048440518269506294</v>
      </c>
      <c r="H105" s="8">
        <f>'Swap-Zinssätze'!F83</f>
        <v>0.04992800292052366</v>
      </c>
    </row>
    <row r="106" spans="3:8" s="8" customFormat="1" ht="12.75">
      <c r="C106" s="8">
        <f>'Swap-Zinssätze'!A84</f>
        <v>3</v>
      </c>
      <c r="D106" s="8">
        <f>'Swap-Zinssätze'!B84</f>
        <v>0.04744954889133899</v>
      </c>
      <c r="E106" s="8">
        <f>'Swap-Zinssätze'!C84</f>
        <v>0.04926233545071762</v>
      </c>
      <c r="F106" s="8">
        <f>'Swap-Zinssätze'!D84</f>
        <v>0.050414031352649685</v>
      </c>
      <c r="G106" s="8">
        <f>'Swap-Zinssätze'!E84</f>
        <v>0.05186664992913451</v>
      </c>
      <c r="H106" s="8">
        <f>'Swap-Zinssätze'!F84</f>
        <v>0.052531421266162726</v>
      </c>
    </row>
    <row r="107" spans="3:8" s="8" customFormat="1" ht="12.75">
      <c r="C107" s="8">
        <f>'Swap-Zinssätze'!A85</f>
        <v>4</v>
      </c>
      <c r="D107" s="8">
        <f>'Swap-Zinssätze'!B85</f>
        <v>0.05116787845242675</v>
      </c>
      <c r="E107" s="8">
        <f>'Swap-Zinssätze'!C85</f>
        <v>0.05201226608108869</v>
      </c>
      <c r="F107" s="8">
        <f>'Swap-Zinssätze'!D85</f>
        <v>0.0534966495553464</v>
      </c>
      <c r="G107" s="8">
        <f>'Swap-Zinssätze'!E85</f>
        <v>0.053975179400874575</v>
      </c>
      <c r="H107" s="8">
        <f>'Swap-Zinssätze'!F85</f>
        <v>0.054752085536781944</v>
      </c>
    </row>
    <row r="108" spans="3:8" s="8" customFormat="1" ht="12.75">
      <c r="C108" s="8">
        <f>'Swap-Zinssätze'!A86</f>
        <v>5</v>
      </c>
      <c r="D108" s="8">
        <f>'Swap-Zinssätze'!B86</f>
        <v>0.0529013229323746</v>
      </c>
      <c r="E108" s="8">
        <f>'Swap-Zinssätze'!C86</f>
        <v>0.054756440801468784</v>
      </c>
      <c r="F108" s="8">
        <f>'Swap-Zinssätze'!D86</f>
        <v>0.055014921585307124</v>
      </c>
      <c r="G108" s="8">
        <f>'Swap-Zinssätze'!E86</f>
        <v>0.0557748202642275</v>
      </c>
      <c r="H108" s="8">
        <f>'Swap-Zinssätze'!F86</f>
        <v>0.0567408469776359</v>
      </c>
    </row>
    <row r="109" s="8" customFormat="1" ht="12.75"/>
    <row r="110" s="8" customFormat="1" ht="12.75"/>
    <row r="111" s="8" customFormat="1" ht="12.75"/>
    <row r="112" s="8" customFormat="1" ht="12.75"/>
    <row r="113" s="8" customFormat="1" ht="12.75"/>
  </sheetData>
  <sheetProtection password="EF20" sheet="1" objects="1" scenarios="1"/>
  <hyperlinks>
    <hyperlink ref="C5" r:id="rId1" display="www.bankstudium.com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Hager</dc:creator>
  <cp:keywords/>
  <dc:description/>
  <cp:lastModifiedBy>Unknown User</cp:lastModifiedBy>
  <cp:lastPrinted>2001-10-29T08:32:50Z</cp:lastPrinted>
  <dcterms:created xsi:type="dcterms:W3CDTF">1999-05-01T15:51:47Z</dcterms:created>
  <dcterms:modified xsi:type="dcterms:W3CDTF">2001-10-30T12:08:54Z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