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BM\Bücher\Perioden- vs. wertorientierte Steuerungskonzepte\Veröffentlicht\"/>
    </mc:Choice>
  </mc:AlternateContent>
  <bookViews>
    <workbookView xWindow="0" yWindow="0" windowWidth="23040" windowHeight="8328"/>
  </bookViews>
  <sheets>
    <sheet name="Inhaltsverzeichnis" sheetId="12" r:id="rId1"/>
    <sheet name="Überblick" sheetId="13" r:id="rId2"/>
    <sheet name="Ertragswertkalkül mit Marge" sheetId="3" r:id="rId3"/>
    <sheet name="Ertragswertkalkül ohne Marge" sheetId="7" r:id="rId4"/>
    <sheet name="Marktwertkalkül" sheetId="8" r:id="rId5"/>
    <sheet name="Exkurs Dynamiken Zins-Sensi" sheetId="9" r:id="rId6"/>
    <sheet name="Exkurs Nebenrechnungen" sheetId="11" r:id="rId7"/>
    <sheet name="Ertragsperspektive" sheetId="14" r:id="rId8"/>
    <sheet name="Bsp. Ertragsperspektive mit CS" sheetId="16" r:id="rId9"/>
    <sheet name="Bsp. Ertragsperspektive IRRBB" sheetId="17" r:id="rId10"/>
  </sheets>
  <definedNames>
    <definedName name="_Ref40701619" localSheetId="2">'Ertragswertkalkül mit Marge'!$A$1</definedName>
    <definedName name="_Ref42005405" localSheetId="5">'Exkurs Dynamiken Zins-Sensi'!$A$1</definedName>
    <definedName name="_Ref43119873" localSheetId="3">'Ertragswertkalkül ohne Marge'!$A$1</definedName>
    <definedName name="_Toc44240316" localSheetId="9">'Bsp. Ertragsperspektive IRRBB'!#REF!</definedName>
    <definedName name="solver_adj" localSheetId="5" hidden="1">'Exkurs Dynamiken Zins-Sensi'!$A$89</definedName>
    <definedName name="solver_adj" localSheetId="6" hidden="1">'Exkurs Nebenrechnungen'!$B$51</definedName>
    <definedName name="solver_cvg" localSheetId="5" hidden="1">0.0001</definedName>
    <definedName name="solver_cvg" localSheetId="6" hidden="1">0.0001</definedName>
    <definedName name="solver_drv" localSheetId="5" hidden="1">1</definedName>
    <definedName name="solver_drv" localSheetId="6" hidden="1">2</definedName>
    <definedName name="solver_eng" localSheetId="5" hidden="1">1</definedName>
    <definedName name="solver_eng" localSheetId="6" hidden="1">1</definedName>
    <definedName name="solver_eng" localSheetId="4" hidden="1">1</definedName>
    <definedName name="solver_est" localSheetId="5" hidden="1">1</definedName>
    <definedName name="solver_est" localSheetId="6" hidden="1">1</definedName>
    <definedName name="solver_itr" localSheetId="5" hidden="1">2147483647</definedName>
    <definedName name="solver_itr" localSheetId="6" hidden="1">2147483647</definedName>
    <definedName name="solver_lhs1" localSheetId="6" hidden="1">'Exkurs Nebenrechnungen'!$B$49</definedName>
    <definedName name="solver_mip" localSheetId="5" hidden="1">2147483647</definedName>
    <definedName name="solver_mip" localSheetId="6" hidden="1">2147483647</definedName>
    <definedName name="solver_mni" localSheetId="5" hidden="1">30</definedName>
    <definedName name="solver_mni" localSheetId="6" hidden="1">30</definedName>
    <definedName name="solver_mrt" localSheetId="5" hidden="1">0.075</definedName>
    <definedName name="solver_mrt" localSheetId="6" hidden="1">0.075</definedName>
    <definedName name="solver_msl" localSheetId="5" hidden="1">2</definedName>
    <definedName name="solver_msl" localSheetId="6" hidden="1">2</definedName>
    <definedName name="solver_neg" localSheetId="5" hidden="1">1</definedName>
    <definedName name="solver_neg" localSheetId="6" hidden="1">2</definedName>
    <definedName name="solver_neg" localSheetId="4" hidden="1">1</definedName>
    <definedName name="solver_nod" localSheetId="5" hidden="1">2147483647</definedName>
    <definedName name="solver_nod" localSheetId="6" hidden="1">2147483647</definedName>
    <definedName name="solver_num" localSheetId="5" hidden="1">0</definedName>
    <definedName name="solver_num" localSheetId="6" hidden="1">1</definedName>
    <definedName name="solver_num" localSheetId="4" hidden="1">0</definedName>
    <definedName name="solver_nwt" localSheetId="5" hidden="1">1</definedName>
    <definedName name="solver_nwt" localSheetId="6" hidden="1">1</definedName>
    <definedName name="solver_opt" localSheetId="5" hidden="1">'Exkurs Dynamiken Zins-Sensi'!$AC$91</definedName>
    <definedName name="solver_opt" localSheetId="6" hidden="1">'Exkurs Nebenrechnungen'!$B$60</definedName>
    <definedName name="solver_opt" localSheetId="4" hidden="1">Marktwertkalkül!$C$110</definedName>
    <definedName name="solver_pre" localSheetId="5" hidden="1">0.000001</definedName>
    <definedName name="solver_pre" localSheetId="6" hidden="1">0.00000001</definedName>
    <definedName name="solver_rbv" localSheetId="5" hidden="1">1</definedName>
    <definedName name="solver_rbv" localSheetId="6" hidden="1">2</definedName>
    <definedName name="solver_rel1" localSheetId="6" hidden="1">2</definedName>
    <definedName name="solver_rhs1" localSheetId="6" hidden="1">'Exkurs Nebenrechnungen'!$B$60</definedName>
    <definedName name="solver_rlx" localSheetId="5" hidden="1">2</definedName>
    <definedName name="solver_rlx" localSheetId="6" hidden="1">2</definedName>
    <definedName name="solver_rsd" localSheetId="5" hidden="1">0</definedName>
    <definedName name="solver_rsd" localSheetId="6" hidden="1">0</definedName>
    <definedName name="solver_scl" localSheetId="5" hidden="1">1</definedName>
    <definedName name="solver_scl" localSheetId="6" hidden="1">2</definedName>
    <definedName name="solver_sho" localSheetId="5" hidden="1">2</definedName>
    <definedName name="solver_sho" localSheetId="6" hidden="1">2</definedName>
    <definedName name="solver_ssz" localSheetId="5" hidden="1">100</definedName>
    <definedName name="solver_ssz" localSheetId="6" hidden="1">100</definedName>
    <definedName name="solver_tim" localSheetId="5" hidden="1">2147483647</definedName>
    <definedName name="solver_tim" localSheetId="6" hidden="1">2147483647</definedName>
    <definedName name="solver_tol" localSheetId="5" hidden="1">0.01</definedName>
    <definedName name="solver_tol" localSheetId="6" hidden="1">0.0001</definedName>
    <definedName name="solver_typ" localSheetId="5" hidden="1">3</definedName>
    <definedName name="solver_typ" localSheetId="6" hidden="1">1</definedName>
    <definedName name="solver_typ" localSheetId="4" hidden="1">1</definedName>
    <definedName name="solver_val" localSheetId="5" hidden="1">0</definedName>
    <definedName name="solver_val" localSheetId="6" hidden="1">17.90928</definedName>
    <definedName name="solver_val" localSheetId="4" hidden="1">0</definedName>
    <definedName name="solver_ver" localSheetId="5" hidden="1">3</definedName>
    <definedName name="solver_ver" localSheetId="6" hidden="1">3</definedName>
    <definedName name="solver_ver" localSheetId="4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2" i="8" l="1"/>
  <c r="F69" i="9"/>
  <c r="F79" i="9"/>
  <c r="F78" i="9"/>
  <c r="F77" i="9"/>
  <c r="F76" i="9"/>
  <c r="F75" i="9"/>
  <c r="F74" i="9"/>
  <c r="F73" i="9"/>
  <c r="F72" i="9"/>
  <c r="F71" i="9"/>
  <c r="F70" i="9"/>
  <c r="AC91" i="9"/>
  <c r="Z91" i="9"/>
  <c r="V91" i="9"/>
  <c r="K69" i="9" s="1"/>
  <c r="D19" i="8" l="1"/>
  <c r="E59" i="8"/>
  <c r="I83" i="3" l="1"/>
  <c r="E58" i="3"/>
  <c r="E57" i="3"/>
  <c r="E19" i="3"/>
  <c r="D19" i="3"/>
  <c r="C83" i="3"/>
  <c r="N32" i="17" l="1"/>
  <c r="N13" i="17"/>
  <c r="N11" i="17"/>
  <c r="M9" i="17"/>
  <c r="M16" i="17" s="1"/>
  <c r="N9" i="17"/>
  <c r="M13" i="17"/>
  <c r="M20" i="17" s="1"/>
  <c r="M11" i="17"/>
  <c r="M38" i="17"/>
  <c r="M40" i="17"/>
  <c r="M18" i="17"/>
  <c r="C161" i="7"/>
  <c r="C157" i="3"/>
  <c r="F146" i="3"/>
  <c r="E146" i="3"/>
  <c r="F141" i="3"/>
  <c r="F142" i="3" s="1"/>
  <c r="F162" i="3" s="1"/>
  <c r="F140" i="3"/>
  <c r="E141" i="3"/>
  <c r="E140" i="3"/>
  <c r="C141" i="3"/>
  <c r="C140" i="3"/>
  <c r="B177" i="3"/>
  <c r="B176" i="3"/>
  <c r="B175" i="3"/>
  <c r="B174" i="3"/>
  <c r="B163" i="3"/>
  <c r="B162" i="3"/>
  <c r="B153" i="3"/>
  <c r="B152" i="3"/>
  <c r="B151" i="3"/>
  <c r="B150" i="3"/>
  <c r="E142" i="3"/>
  <c r="E162" i="3" s="1"/>
  <c r="B142" i="3"/>
  <c r="C142" i="3"/>
  <c r="C162" i="3" s="1"/>
  <c r="I129" i="3"/>
  <c r="I126" i="3"/>
  <c r="I125" i="3"/>
  <c r="I119" i="3"/>
  <c r="F119" i="3"/>
  <c r="I118" i="3"/>
  <c r="I131" i="3" s="1"/>
  <c r="F118" i="3"/>
  <c r="F150" i="7"/>
  <c r="E150" i="7"/>
  <c r="E162" i="7" s="1"/>
  <c r="E172" i="7" s="1"/>
  <c r="F145" i="7"/>
  <c r="C145" i="7"/>
  <c r="C144" i="7"/>
  <c r="C146" i="7" s="1"/>
  <c r="C166" i="7" s="1"/>
  <c r="D181" i="7"/>
  <c r="B181" i="7"/>
  <c r="B180" i="7"/>
  <c r="B179" i="7"/>
  <c r="B178" i="7"/>
  <c r="B167" i="7"/>
  <c r="B166" i="7"/>
  <c r="B157" i="7"/>
  <c r="B156" i="7"/>
  <c r="B155" i="7"/>
  <c r="B154" i="7"/>
  <c r="B146" i="7"/>
  <c r="I129" i="7"/>
  <c r="C111" i="8"/>
  <c r="C158" i="8" s="1"/>
  <c r="B183" i="8"/>
  <c r="B182" i="8"/>
  <c r="B181" i="8"/>
  <c r="B170" i="8"/>
  <c r="B169" i="8"/>
  <c r="B160" i="8"/>
  <c r="C159" i="8"/>
  <c r="B159" i="8"/>
  <c r="B158" i="8"/>
  <c r="C157" i="8"/>
  <c r="B157" i="8"/>
  <c r="F153" i="8"/>
  <c r="E153" i="8"/>
  <c r="B149" i="8"/>
  <c r="C148" i="8"/>
  <c r="C147" i="8"/>
  <c r="C149" i="8" s="1"/>
  <c r="C169" i="8" s="1"/>
  <c r="B141" i="8"/>
  <c r="B184" i="8" s="1"/>
  <c r="I136" i="8"/>
  <c r="I133" i="8"/>
  <c r="I132" i="8"/>
  <c r="C118" i="8"/>
  <c r="D113" i="8"/>
  <c r="D160" i="8" s="1"/>
  <c r="C113" i="8"/>
  <c r="C160" i="8" s="1"/>
  <c r="M108" i="8"/>
  <c r="N15" i="8"/>
  <c r="N13" i="8"/>
  <c r="N11" i="8"/>
  <c r="M15" i="8"/>
  <c r="M13" i="8"/>
  <c r="M11" i="8"/>
  <c r="N11" i="7"/>
  <c r="N13" i="7"/>
  <c r="N15" i="7"/>
  <c r="M15" i="7"/>
  <c r="M13" i="7"/>
  <c r="N11" i="3"/>
  <c r="N15" i="3"/>
  <c r="N13" i="3"/>
  <c r="M15" i="3"/>
  <c r="M11" i="3"/>
  <c r="M13" i="3"/>
  <c r="U83" i="16"/>
  <c r="M83" i="16"/>
  <c r="M81" i="16"/>
  <c r="M89" i="16" s="1"/>
  <c r="M79" i="16"/>
  <c r="M86" i="16" s="1"/>
  <c r="M34" i="16"/>
  <c r="M30" i="16"/>
  <c r="M37" i="16" s="1"/>
  <c r="M13" i="16"/>
  <c r="M20" i="16" s="1"/>
  <c r="N13" i="16"/>
  <c r="N11" i="16"/>
  <c r="M11" i="16"/>
  <c r="N9" i="16"/>
  <c r="M9" i="16"/>
  <c r="M16" i="16" s="1"/>
  <c r="U91" i="16"/>
  <c r="U86" i="16"/>
  <c r="G89" i="17"/>
  <c r="G86" i="17"/>
  <c r="G85" i="17" s="1"/>
  <c r="E85" i="17"/>
  <c r="G81" i="17"/>
  <c r="E81" i="17"/>
  <c r="AD77" i="17"/>
  <c r="AC77" i="17"/>
  <c r="V77" i="17"/>
  <c r="U77" i="17"/>
  <c r="N77" i="17"/>
  <c r="M77" i="17"/>
  <c r="AD76" i="17"/>
  <c r="AC76" i="17"/>
  <c r="V76" i="17"/>
  <c r="U76" i="17"/>
  <c r="N76" i="17"/>
  <c r="M76" i="17"/>
  <c r="AD75" i="17"/>
  <c r="AC75" i="17"/>
  <c r="AC81" i="17" s="1"/>
  <c r="V75" i="17"/>
  <c r="V83" i="17" s="1"/>
  <c r="U75" i="17"/>
  <c r="N75" i="17"/>
  <c r="N83" i="17" s="1"/>
  <c r="M75" i="17"/>
  <c r="M83" i="17" s="1"/>
  <c r="H63" i="17"/>
  <c r="H68" i="17" s="1"/>
  <c r="B62" i="17"/>
  <c r="B92" i="17" s="1"/>
  <c r="A62" i="17"/>
  <c r="A100" i="17" s="1"/>
  <c r="A107" i="17" s="1"/>
  <c r="B61" i="17"/>
  <c r="B99" i="17" s="1"/>
  <c r="B106" i="17" s="1"/>
  <c r="A61" i="17"/>
  <c r="A99" i="17" s="1"/>
  <c r="A106" i="17" s="1"/>
  <c r="H51" i="17"/>
  <c r="H57" i="17" s="1"/>
  <c r="E47" i="17"/>
  <c r="H47" i="17" s="1"/>
  <c r="D47" i="17"/>
  <c r="G47" i="17" s="1"/>
  <c r="F31" i="17"/>
  <c r="I30" i="17"/>
  <c r="I32" i="17" s="1"/>
  <c r="F30" i="17"/>
  <c r="F32" i="17" s="1"/>
  <c r="F36" i="17" s="1"/>
  <c r="E50" i="17" s="1"/>
  <c r="N26" i="17"/>
  <c r="M26" i="17"/>
  <c r="N25" i="17"/>
  <c r="M25" i="17"/>
  <c r="N24" i="17"/>
  <c r="N34" i="17" s="1"/>
  <c r="M24" i="17"/>
  <c r="M30" i="17" s="1"/>
  <c r="F10" i="17"/>
  <c r="I9" i="17"/>
  <c r="I11" i="17" s="1"/>
  <c r="F9" i="17"/>
  <c r="F11" i="17" s="1"/>
  <c r="F15" i="17" s="1"/>
  <c r="D50" i="17" s="1"/>
  <c r="A100" i="16"/>
  <c r="A107" i="16" s="1"/>
  <c r="L97" i="16"/>
  <c r="G89" i="16"/>
  <c r="G86" i="16"/>
  <c r="G85" i="16" s="1"/>
  <c r="E85" i="16"/>
  <c r="G81" i="16"/>
  <c r="E81" i="16"/>
  <c r="AD77" i="16"/>
  <c r="AC77" i="16"/>
  <c r="V77" i="16"/>
  <c r="U77" i="16"/>
  <c r="N77" i="16"/>
  <c r="M77" i="16"/>
  <c r="AD76" i="16"/>
  <c r="AC76" i="16"/>
  <c r="V76" i="16"/>
  <c r="U76" i="16"/>
  <c r="N76" i="16"/>
  <c r="M76" i="16"/>
  <c r="AD75" i="16"/>
  <c r="AD83" i="16" s="1"/>
  <c r="AD91" i="16" s="1"/>
  <c r="AC75" i="16"/>
  <c r="AC83" i="16" s="1"/>
  <c r="AC91" i="16" s="1"/>
  <c r="V75" i="16"/>
  <c r="U75" i="16"/>
  <c r="U79" i="16" s="1"/>
  <c r="N75" i="16"/>
  <c r="M75" i="16"/>
  <c r="B62" i="16"/>
  <c r="B92" i="16" s="1"/>
  <c r="A62" i="16"/>
  <c r="A92" i="16" s="1"/>
  <c r="B61" i="16"/>
  <c r="B91" i="16" s="1"/>
  <c r="A61" i="16"/>
  <c r="A91" i="16" s="1"/>
  <c r="H51" i="16"/>
  <c r="H57" i="16" s="1"/>
  <c r="E47" i="16"/>
  <c r="H47" i="16" s="1"/>
  <c r="D47" i="16"/>
  <c r="G47" i="16" s="1"/>
  <c r="F32" i="16"/>
  <c r="F36" i="16" s="1"/>
  <c r="E50" i="16" s="1"/>
  <c r="F31" i="16"/>
  <c r="I30" i="16"/>
  <c r="I32" i="16" s="1"/>
  <c r="F30" i="16"/>
  <c r="N26" i="16"/>
  <c r="M26" i="16"/>
  <c r="N25" i="16"/>
  <c r="M25" i="16"/>
  <c r="N24" i="16"/>
  <c r="M24" i="16"/>
  <c r="I14" i="16"/>
  <c r="I15" i="16" s="1"/>
  <c r="G50" i="16" s="1"/>
  <c r="M18" i="16"/>
  <c r="F10" i="16"/>
  <c r="I9" i="16"/>
  <c r="I11" i="16" s="1"/>
  <c r="F9" i="16"/>
  <c r="F11" i="16" s="1"/>
  <c r="F15" i="16" s="1"/>
  <c r="D50" i="16" s="1"/>
  <c r="N30" i="16" l="1"/>
  <c r="N37" i="16" s="1"/>
  <c r="N34" i="16"/>
  <c r="N83" i="16"/>
  <c r="N81" i="16"/>
  <c r="N89" i="16" s="1"/>
  <c r="N79" i="16"/>
  <c r="N86" i="16" s="1"/>
  <c r="V83" i="16"/>
  <c r="V91" i="16" s="1"/>
  <c r="V79" i="16"/>
  <c r="AD83" i="17"/>
  <c r="AD81" i="17"/>
  <c r="V86" i="16"/>
  <c r="N32" i="16"/>
  <c r="V81" i="16"/>
  <c r="F162" i="7"/>
  <c r="F172" i="7" s="1"/>
  <c r="I35" i="16"/>
  <c r="M91" i="16"/>
  <c r="A99" i="16"/>
  <c r="A106" i="16" s="1"/>
  <c r="M81" i="17"/>
  <c r="M89" i="17" s="1"/>
  <c r="N89" i="17" s="1"/>
  <c r="M32" i="16"/>
  <c r="U81" i="16"/>
  <c r="U89" i="16" s="1"/>
  <c r="N16" i="17"/>
  <c r="C15" i="17" s="1"/>
  <c r="D52" i="17" s="1"/>
  <c r="N30" i="17"/>
  <c r="U79" i="17"/>
  <c r="U86" i="17" s="1"/>
  <c r="V79" i="17"/>
  <c r="U83" i="17"/>
  <c r="U91" i="17" s="1"/>
  <c r="V91" i="17" s="1"/>
  <c r="B100" i="17"/>
  <c r="B107" i="17" s="1"/>
  <c r="M32" i="17"/>
  <c r="M39" i="17" s="1"/>
  <c r="N39" i="17" s="1"/>
  <c r="M79" i="17"/>
  <c r="M86" i="17" s="1"/>
  <c r="N81" i="17"/>
  <c r="V81" i="17"/>
  <c r="AC79" i="17"/>
  <c r="AC86" i="17" s="1"/>
  <c r="AD86" i="17" s="1"/>
  <c r="AC83" i="17"/>
  <c r="AC91" i="17" s="1"/>
  <c r="AD91" i="17" s="1"/>
  <c r="M34" i="17"/>
  <c r="N79" i="17"/>
  <c r="AD79" i="17"/>
  <c r="N18" i="17"/>
  <c r="N20" i="17"/>
  <c r="I14" i="17"/>
  <c r="I15" i="17" s="1"/>
  <c r="G50" i="17" s="1"/>
  <c r="F174" i="3"/>
  <c r="F158" i="3"/>
  <c r="F168" i="3" s="1"/>
  <c r="E158" i="3"/>
  <c r="E168" i="3" s="1"/>
  <c r="C161" i="8"/>
  <c r="F165" i="8"/>
  <c r="F175" i="8" s="1"/>
  <c r="D111" i="8"/>
  <c r="D158" i="8" s="1"/>
  <c r="C119" i="8"/>
  <c r="D114" i="8"/>
  <c r="E165" i="8"/>
  <c r="E175" i="8" s="1"/>
  <c r="N20" i="16"/>
  <c r="N18" i="16"/>
  <c r="C14" i="16" s="1"/>
  <c r="N16" i="16"/>
  <c r="M41" i="16"/>
  <c r="I36" i="16"/>
  <c r="H50" i="16" s="1"/>
  <c r="N101" i="16"/>
  <c r="M102" i="16" s="1"/>
  <c r="N95" i="17"/>
  <c r="F63" i="17"/>
  <c r="G66" i="17" s="1"/>
  <c r="C16" i="17"/>
  <c r="G52" i="17"/>
  <c r="E56" i="17"/>
  <c r="AC89" i="17"/>
  <c r="AD89" i="17" s="1"/>
  <c r="M91" i="17"/>
  <c r="N91" i="17" s="1"/>
  <c r="A92" i="17"/>
  <c r="M37" i="17"/>
  <c r="N37" i="17" s="1"/>
  <c r="B91" i="17"/>
  <c r="U81" i="17"/>
  <c r="U89" i="17" s="1"/>
  <c r="V89" i="17" s="1"/>
  <c r="A91" i="17"/>
  <c r="C16" i="16"/>
  <c r="G52" i="16"/>
  <c r="F63" i="16"/>
  <c r="N95" i="16"/>
  <c r="M96" i="16" s="1"/>
  <c r="N105" i="16"/>
  <c r="M106" i="16" s="1"/>
  <c r="H56" i="16"/>
  <c r="E56" i="16"/>
  <c r="M39" i="16"/>
  <c r="AC79" i="16"/>
  <c r="AC86" i="16" s="1"/>
  <c r="B99" i="16"/>
  <c r="B106" i="16" s="1"/>
  <c r="B100" i="16"/>
  <c r="B107" i="16" s="1"/>
  <c r="AD81" i="16"/>
  <c r="AD79" i="16"/>
  <c r="AD86" i="16" s="1"/>
  <c r="AC81" i="16"/>
  <c r="AC89" i="16" s="1"/>
  <c r="C69" i="14"/>
  <c r="N33" i="14"/>
  <c r="M31" i="14"/>
  <c r="M38" i="14" s="1"/>
  <c r="M25" i="14"/>
  <c r="M33" i="14" s="1"/>
  <c r="M55" i="14"/>
  <c r="M62" i="14" s="1"/>
  <c r="M53" i="14"/>
  <c r="M60" i="14" s="1"/>
  <c r="E74" i="14"/>
  <c r="D74" i="14"/>
  <c r="E69" i="14"/>
  <c r="N68" i="14"/>
  <c r="M68" i="14"/>
  <c r="N67" i="14"/>
  <c r="M67" i="14"/>
  <c r="N66" i="14"/>
  <c r="N76" i="14" s="1"/>
  <c r="M66" i="14"/>
  <c r="M74" i="14" s="1"/>
  <c r="M81" i="14" s="1"/>
  <c r="E58" i="14"/>
  <c r="D58" i="14"/>
  <c r="N55" i="14"/>
  <c r="N53" i="14"/>
  <c r="E53" i="14"/>
  <c r="N51" i="14"/>
  <c r="M51" i="14"/>
  <c r="M58" i="14" s="1"/>
  <c r="E28" i="14"/>
  <c r="D28" i="14"/>
  <c r="N27" i="14"/>
  <c r="M27" i="14"/>
  <c r="M35" i="14" s="1"/>
  <c r="M42" i="14" s="1"/>
  <c r="N26" i="14"/>
  <c r="M26" i="14"/>
  <c r="N25" i="14"/>
  <c r="N35" i="14" s="1"/>
  <c r="E23" i="14"/>
  <c r="E16" i="14"/>
  <c r="D16" i="14"/>
  <c r="N14" i="14"/>
  <c r="M14" i="14"/>
  <c r="M21" i="14" s="1"/>
  <c r="N12" i="14"/>
  <c r="M12" i="14"/>
  <c r="M19" i="14" s="1"/>
  <c r="N19" i="14" s="1"/>
  <c r="E11" i="14"/>
  <c r="N10" i="14"/>
  <c r="M10" i="14"/>
  <c r="M17" i="14" s="1"/>
  <c r="D33" i="14" l="1"/>
  <c r="E79" i="14"/>
  <c r="G79" i="14" s="1"/>
  <c r="V89" i="16"/>
  <c r="E99" i="16"/>
  <c r="C14" i="17"/>
  <c r="N41" i="16"/>
  <c r="N72" i="14"/>
  <c r="N62" i="14"/>
  <c r="E100" i="16"/>
  <c r="N58" i="14"/>
  <c r="G58" i="14"/>
  <c r="N74" i="14"/>
  <c r="N31" i="14"/>
  <c r="AD89" i="16"/>
  <c r="E102" i="16" s="1"/>
  <c r="C15" i="16"/>
  <c r="D52" i="16" s="1"/>
  <c r="E107" i="16" s="1"/>
  <c r="G109" i="17"/>
  <c r="N39" i="16"/>
  <c r="C36" i="16" s="1"/>
  <c r="D36" i="16" s="1"/>
  <c r="N91" i="16"/>
  <c r="N86" i="17"/>
  <c r="N97" i="17"/>
  <c r="E106" i="17"/>
  <c r="V86" i="17"/>
  <c r="E100" i="17" s="1"/>
  <c r="N101" i="17"/>
  <c r="C37" i="17"/>
  <c r="H52" i="17"/>
  <c r="H58" i="17" s="1"/>
  <c r="I35" i="17"/>
  <c r="I36" i="17" s="1"/>
  <c r="H50" i="17" s="1"/>
  <c r="M41" i="17"/>
  <c r="N41" i="17" s="1"/>
  <c r="F68" i="17"/>
  <c r="G71" i="17" s="1"/>
  <c r="C35" i="17"/>
  <c r="E52" i="17" s="1"/>
  <c r="E58" i="17" s="1"/>
  <c r="C36" i="17"/>
  <c r="D36" i="17" s="1"/>
  <c r="D119" i="8"/>
  <c r="C122" i="8"/>
  <c r="C141" i="8" s="1"/>
  <c r="D171" i="8"/>
  <c r="D161" i="8"/>
  <c r="D170" i="8" s="1"/>
  <c r="C170" i="8"/>
  <c r="C171" i="8" s="1"/>
  <c r="C164" i="8"/>
  <c r="N97" i="16"/>
  <c r="M98" i="16" s="1"/>
  <c r="C37" i="16"/>
  <c r="D37" i="16" s="1"/>
  <c r="G106" i="16"/>
  <c r="F68" i="16"/>
  <c r="F67" i="16" s="1"/>
  <c r="H70" i="16" s="1"/>
  <c r="H52" i="16"/>
  <c r="H49" i="16" s="1"/>
  <c r="G107" i="17"/>
  <c r="E102" i="17"/>
  <c r="G49" i="17"/>
  <c r="G109" i="16"/>
  <c r="F62" i="17"/>
  <c r="E109" i="17"/>
  <c r="G106" i="17"/>
  <c r="G107" i="16"/>
  <c r="H56" i="17"/>
  <c r="D49" i="17"/>
  <c r="L95" i="17"/>
  <c r="L97" i="17" s="1"/>
  <c r="M98" i="17" s="1"/>
  <c r="D62" i="17"/>
  <c r="L101" i="17"/>
  <c r="M102" i="17" s="1"/>
  <c r="C17" i="17"/>
  <c r="E99" i="17"/>
  <c r="G49" i="16"/>
  <c r="D37" i="17"/>
  <c r="F67" i="17"/>
  <c r="H58" i="16"/>
  <c r="H55" i="16" s="1"/>
  <c r="G77" i="16" s="1"/>
  <c r="D49" i="16"/>
  <c r="E106" i="16"/>
  <c r="M107" i="16"/>
  <c r="D62" i="16"/>
  <c r="M103" i="16"/>
  <c r="F62" i="16"/>
  <c r="H65" i="16" s="1"/>
  <c r="M99" i="16"/>
  <c r="N81" i="14"/>
  <c r="N60" i="14"/>
  <c r="N42" i="14"/>
  <c r="N17" i="14"/>
  <c r="N21" i="14"/>
  <c r="D79" i="14"/>
  <c r="E33" i="14"/>
  <c r="G33" i="14" s="1"/>
  <c r="G16" i="14"/>
  <c r="C11" i="14"/>
  <c r="D14" i="14" s="1"/>
  <c r="D53" i="14"/>
  <c r="E57" i="14" s="1"/>
  <c r="C53" i="14"/>
  <c r="D56" i="14" s="1"/>
  <c r="D69" i="14"/>
  <c r="E73" i="14" s="1"/>
  <c r="E75" i="14" s="1"/>
  <c r="D72" i="14"/>
  <c r="D11" i="14"/>
  <c r="M76" i="14"/>
  <c r="M83" i="14" s="1"/>
  <c r="N83" i="14" s="1"/>
  <c r="M40" i="14"/>
  <c r="N40" i="14" s="1"/>
  <c r="G74" i="14"/>
  <c r="G28" i="14"/>
  <c r="M72" i="14"/>
  <c r="M79" i="14" s="1"/>
  <c r="N79" i="14" s="1"/>
  <c r="C17" i="16" l="1"/>
  <c r="E109" i="16"/>
  <c r="C35" i="16"/>
  <c r="C38" i="16" s="1"/>
  <c r="H49" i="17"/>
  <c r="E107" i="17"/>
  <c r="C38" i="17"/>
  <c r="D68" i="17"/>
  <c r="E71" i="17" s="1"/>
  <c r="D35" i="17"/>
  <c r="E51" i="17" s="1"/>
  <c r="D184" i="8"/>
  <c r="D117" i="8"/>
  <c r="D35" i="16"/>
  <c r="E51" i="16" s="1"/>
  <c r="E104" i="16"/>
  <c r="G111" i="17"/>
  <c r="G111" i="16"/>
  <c r="E104" i="17"/>
  <c r="M96" i="17"/>
  <c r="M103" i="17" s="1"/>
  <c r="H55" i="17"/>
  <c r="G77" i="17" s="1"/>
  <c r="G91" i="17"/>
  <c r="G70" i="17"/>
  <c r="E111" i="17"/>
  <c r="G92" i="17"/>
  <c r="G78" i="17" s="1"/>
  <c r="G94" i="17"/>
  <c r="G80" i="17" s="1"/>
  <c r="D67" i="17"/>
  <c r="D63" i="17"/>
  <c r="G65" i="17"/>
  <c r="M109" i="16"/>
  <c r="E111" i="16"/>
  <c r="D63" i="16"/>
  <c r="F65" i="16" s="1"/>
  <c r="H68" i="16"/>
  <c r="D67" i="16"/>
  <c r="H63" i="16"/>
  <c r="H66" i="16" s="1"/>
  <c r="N38" i="14"/>
  <c r="D23" i="14"/>
  <c r="E27" i="14" s="1"/>
  <c r="E29" i="14" s="1"/>
  <c r="C23" i="14"/>
  <c r="D26" i="14" s="1"/>
  <c r="G26" i="14" s="1"/>
  <c r="D15" i="14"/>
  <c r="G14" i="14"/>
  <c r="D17" i="14"/>
  <c r="D73" i="14"/>
  <c r="G73" i="14" s="1"/>
  <c r="E15" i="14"/>
  <c r="G15" i="14" s="1"/>
  <c r="G56" i="14"/>
  <c r="G72" i="14"/>
  <c r="E78" i="14"/>
  <c r="E80" i="14" s="1"/>
  <c r="E59" i="14"/>
  <c r="D57" i="14"/>
  <c r="D59" i="14" s="1"/>
  <c r="D51" i="11"/>
  <c r="C51" i="11"/>
  <c r="B44" i="11"/>
  <c r="E52" i="16" l="1"/>
  <c r="E58" i="16" s="1"/>
  <c r="D68" i="16"/>
  <c r="F71" i="16" s="1"/>
  <c r="D38" i="16"/>
  <c r="E40" i="16" s="1"/>
  <c r="D38" i="17"/>
  <c r="E40" i="17" s="1"/>
  <c r="M99" i="17"/>
  <c r="G82" i="17"/>
  <c r="G96" i="17"/>
  <c r="E57" i="17"/>
  <c r="E55" i="17" s="1"/>
  <c r="E77" i="17" s="1"/>
  <c r="E49" i="17"/>
  <c r="E92" i="17"/>
  <c r="E78" i="17" s="1"/>
  <c r="E94" i="17"/>
  <c r="E80" i="17" s="1"/>
  <c r="E91" i="17"/>
  <c r="E70" i="17"/>
  <c r="E65" i="17"/>
  <c r="E66" i="17"/>
  <c r="G92" i="16"/>
  <c r="G78" i="16" s="1"/>
  <c r="H71" i="16"/>
  <c r="G94" i="16"/>
  <c r="G80" i="16" s="1"/>
  <c r="G91" i="16"/>
  <c r="E57" i="16"/>
  <c r="E55" i="16" s="1"/>
  <c r="E77" i="16" s="1"/>
  <c r="F66" i="16"/>
  <c r="E92" i="16"/>
  <c r="E78" i="16" s="1"/>
  <c r="E94" i="16"/>
  <c r="E80" i="16" s="1"/>
  <c r="E91" i="16"/>
  <c r="F70" i="16"/>
  <c r="D27" i="14"/>
  <c r="G27" i="14" s="1"/>
  <c r="G59" i="14"/>
  <c r="D75" i="14"/>
  <c r="G75" i="14" s="1"/>
  <c r="D32" i="14"/>
  <c r="G57" i="14"/>
  <c r="D78" i="14"/>
  <c r="E17" i="14"/>
  <c r="G17" i="14" s="1"/>
  <c r="E32" i="14"/>
  <c r="E34" i="14" s="1"/>
  <c r="L10" i="13"/>
  <c r="K11" i="13"/>
  <c r="L11" i="13" s="1"/>
  <c r="K10" i="13"/>
  <c r="K9" i="13"/>
  <c r="L9" i="13" s="1"/>
  <c r="M22" i="8"/>
  <c r="M20" i="8"/>
  <c r="N20" i="8" s="1"/>
  <c r="M18" i="8"/>
  <c r="M22" i="7"/>
  <c r="M20" i="7"/>
  <c r="M11" i="7"/>
  <c r="M18" i="7" s="1"/>
  <c r="N20" i="11"/>
  <c r="N27" i="11" s="1"/>
  <c r="M20" i="11"/>
  <c r="M21" i="11" s="1"/>
  <c r="I20" i="11"/>
  <c r="I27" i="11" s="1"/>
  <c r="H20" i="11"/>
  <c r="H21" i="11" s="1"/>
  <c r="D20" i="11"/>
  <c r="D27" i="11" s="1"/>
  <c r="C20" i="11"/>
  <c r="C21" i="11" s="1"/>
  <c r="N14" i="11"/>
  <c r="M14" i="11"/>
  <c r="M27" i="11" s="1"/>
  <c r="M28" i="11" s="1"/>
  <c r="I14" i="11"/>
  <c r="H14" i="11"/>
  <c r="H15" i="11" s="1"/>
  <c r="D14" i="11"/>
  <c r="C14" i="11"/>
  <c r="C27" i="11" s="1"/>
  <c r="C28" i="11" s="1"/>
  <c r="M11" i="11"/>
  <c r="H11" i="11"/>
  <c r="I11" i="11" s="1"/>
  <c r="C11" i="11"/>
  <c r="D11" i="11" s="1"/>
  <c r="N3" i="11"/>
  <c r="M3" i="11"/>
  <c r="H3" i="11"/>
  <c r="G3" i="11"/>
  <c r="D3" i="11"/>
  <c r="C3" i="11"/>
  <c r="C12" i="11" s="1"/>
  <c r="H17" i="11" l="1"/>
  <c r="D29" i="14"/>
  <c r="G29" i="14" s="1"/>
  <c r="E49" i="16"/>
  <c r="G82" i="16"/>
  <c r="E96" i="16"/>
  <c r="G96" i="16"/>
  <c r="E96" i="17"/>
  <c r="E82" i="17"/>
  <c r="E82" i="16"/>
  <c r="G32" i="14"/>
  <c r="D34" i="14"/>
  <c r="G34" i="14" s="1"/>
  <c r="D80" i="14"/>
  <c r="G80" i="14" s="1"/>
  <c r="G78" i="14"/>
  <c r="D12" i="11"/>
  <c r="I15" i="11"/>
  <c r="D44" i="11"/>
  <c r="C23" i="11"/>
  <c r="C44" i="11"/>
  <c r="I3" i="11"/>
  <c r="I12" i="11" s="1"/>
  <c r="M30" i="11"/>
  <c r="N18" i="8"/>
  <c r="N22" i="8"/>
  <c r="N20" i="7"/>
  <c r="N18" i="7"/>
  <c r="N22" i="7"/>
  <c r="I21" i="11"/>
  <c r="C24" i="11"/>
  <c r="D28" i="11"/>
  <c r="D30" i="11" s="1"/>
  <c r="N28" i="11"/>
  <c r="N30" i="11" s="1"/>
  <c r="H27" i="11"/>
  <c r="H28" i="11" s="1"/>
  <c r="D21" i="11"/>
  <c r="D23" i="11" s="1"/>
  <c r="D24" i="11" s="1"/>
  <c r="N21" i="11"/>
  <c r="N23" i="11" s="1"/>
  <c r="M23" i="11"/>
  <c r="N11" i="11"/>
  <c r="N12" i="11" s="1"/>
  <c r="G12" i="11"/>
  <c r="M12" i="11"/>
  <c r="M31" i="11" s="1"/>
  <c r="C15" i="11"/>
  <c r="D15" i="11" s="1"/>
  <c r="D17" i="11" s="1"/>
  <c r="D18" i="11" s="1"/>
  <c r="M15" i="11"/>
  <c r="M17" i="11" s="1"/>
  <c r="H23" i="11"/>
  <c r="C30" i="11"/>
  <c r="C48" i="11" s="1"/>
  <c r="L12" i="11"/>
  <c r="B12" i="11"/>
  <c r="B45" i="11" s="1"/>
  <c r="H12" i="11"/>
  <c r="H18" i="11" s="1"/>
  <c r="I17" i="11" l="1"/>
  <c r="I23" i="11"/>
  <c r="I24" i="11" s="1"/>
  <c r="B52" i="11"/>
  <c r="C52" i="11" s="1"/>
  <c r="C57" i="11" s="1"/>
  <c r="B57" i="11" s="1"/>
  <c r="I18" i="11"/>
  <c r="D31" i="11"/>
  <c r="D48" i="11"/>
  <c r="B54" i="11"/>
  <c r="M18" i="11"/>
  <c r="N15" i="11"/>
  <c r="G17" i="11"/>
  <c r="G18" i="11"/>
  <c r="C25" i="9" s="1"/>
  <c r="I28" i="11"/>
  <c r="C56" i="11"/>
  <c r="N24" i="11"/>
  <c r="N31" i="11"/>
  <c r="H24" i="11"/>
  <c r="G23" i="11"/>
  <c r="G24" i="11" s="1"/>
  <c r="B17" i="11"/>
  <c r="C17" i="11"/>
  <c r="C18" i="11" s="1"/>
  <c r="B18" i="11" s="1"/>
  <c r="C31" i="11"/>
  <c r="B30" i="11"/>
  <c r="H30" i="11"/>
  <c r="M24" i="11"/>
  <c r="L23" i="11"/>
  <c r="L24" i="11" s="1"/>
  <c r="B23" i="11"/>
  <c r="L30" i="11"/>
  <c r="L31" i="11" s="1"/>
  <c r="E26" i="9" s="1"/>
  <c r="L25" i="11" l="1"/>
  <c r="D26" i="9"/>
  <c r="B31" i="11"/>
  <c r="B49" i="11" s="1"/>
  <c r="B48" i="11"/>
  <c r="L17" i="11"/>
  <c r="N17" i="11"/>
  <c r="N18" i="11" s="1"/>
  <c r="L18" i="11" s="1"/>
  <c r="C26" i="9" s="1"/>
  <c r="B24" i="11"/>
  <c r="B25" i="11" s="1"/>
  <c r="G25" i="11"/>
  <c r="D25" i="9"/>
  <c r="C28" i="9"/>
  <c r="C27" i="9"/>
  <c r="I30" i="11"/>
  <c r="I31" i="11" s="1"/>
  <c r="D56" i="11"/>
  <c r="B56" i="11" s="1"/>
  <c r="B58" i="11" s="1"/>
  <c r="B60" i="11" s="1"/>
  <c r="G30" i="11"/>
  <c r="G31" i="11" s="1"/>
  <c r="H31" i="11"/>
  <c r="D28" i="9" l="1"/>
  <c r="D27" i="9"/>
  <c r="I14" i="8" l="1"/>
  <c r="I15" i="8" s="1"/>
  <c r="C102" i="8" l="1"/>
  <c r="C79" i="9"/>
  <c r="B79" i="9"/>
  <c r="C78" i="9"/>
  <c r="B78" i="9"/>
  <c r="C77" i="9"/>
  <c r="B77" i="9"/>
  <c r="C76" i="9"/>
  <c r="B76" i="9"/>
  <c r="C75" i="9"/>
  <c r="B75" i="9"/>
  <c r="B69" i="9"/>
  <c r="C69" i="9"/>
  <c r="B70" i="9"/>
  <c r="C70" i="9"/>
  <c r="B71" i="9"/>
  <c r="C71" i="9"/>
  <c r="B72" i="9"/>
  <c r="C72" i="9"/>
  <c r="B73" i="9"/>
  <c r="C73" i="9"/>
  <c r="J90" i="9"/>
  <c r="H90" i="9"/>
  <c r="I90" i="9"/>
  <c r="I4" i="9"/>
  <c r="H4" i="9"/>
  <c r="B21" i="9" l="1"/>
  <c r="B14" i="9"/>
  <c r="G79" i="9" l="1"/>
  <c r="G78" i="9"/>
  <c r="G77" i="9"/>
  <c r="G76" i="9"/>
  <c r="G75" i="9"/>
  <c r="G74" i="9"/>
  <c r="G73" i="9"/>
  <c r="G72" i="9"/>
  <c r="G71" i="9"/>
  <c r="G70" i="9"/>
  <c r="G69" i="9"/>
  <c r="M121" i="9"/>
  <c r="K121" i="9" s="1"/>
  <c r="I121" i="9"/>
  <c r="H121" i="9"/>
  <c r="N121" i="9" s="1"/>
  <c r="K120" i="9"/>
  <c r="J120" i="9"/>
  <c r="P120" i="9" s="1"/>
  <c r="I120" i="9"/>
  <c r="H120" i="9"/>
  <c r="N120" i="9" s="1"/>
  <c r="V119" i="9"/>
  <c r="M118" i="9"/>
  <c r="K118" i="9" s="1"/>
  <c r="I118" i="9"/>
  <c r="H118" i="9"/>
  <c r="N118" i="9" s="1"/>
  <c r="K117" i="9"/>
  <c r="J117" i="9"/>
  <c r="P117" i="9" s="1"/>
  <c r="I117" i="9"/>
  <c r="H117" i="9"/>
  <c r="N117" i="9" s="1"/>
  <c r="V116" i="9"/>
  <c r="M115" i="9"/>
  <c r="K115" i="9" s="1"/>
  <c r="J115" i="9"/>
  <c r="P115" i="9" s="1"/>
  <c r="I115" i="9"/>
  <c r="H115" i="9"/>
  <c r="N115" i="9" s="1"/>
  <c r="K114" i="9"/>
  <c r="J114" i="9"/>
  <c r="P114" i="9" s="1"/>
  <c r="I114" i="9"/>
  <c r="H114" i="9"/>
  <c r="N114" i="9" s="1"/>
  <c r="V113" i="9"/>
  <c r="M112" i="9"/>
  <c r="J112" i="9" s="1"/>
  <c r="P112" i="9" s="1"/>
  <c r="M109" i="9"/>
  <c r="K112" i="9"/>
  <c r="I112" i="9"/>
  <c r="H112" i="9"/>
  <c r="N112" i="9" s="1"/>
  <c r="K111" i="9"/>
  <c r="J111" i="9"/>
  <c r="P111" i="9" s="1"/>
  <c r="I111" i="9"/>
  <c r="H111" i="9"/>
  <c r="N111" i="9" s="1"/>
  <c r="V110" i="9"/>
  <c r="K109" i="9"/>
  <c r="J109" i="9"/>
  <c r="P109" i="9" s="1"/>
  <c r="I109" i="9"/>
  <c r="H109" i="9"/>
  <c r="N109" i="9" s="1"/>
  <c r="K108" i="9"/>
  <c r="J108" i="9"/>
  <c r="P108" i="9" s="1"/>
  <c r="I108" i="9"/>
  <c r="H108" i="9"/>
  <c r="N108" i="9" s="1"/>
  <c r="V107" i="9"/>
  <c r="M106" i="9"/>
  <c r="K106" i="9" s="1"/>
  <c r="I106" i="9"/>
  <c r="H106" i="9"/>
  <c r="N106" i="9" s="1"/>
  <c r="K105" i="9"/>
  <c r="J105" i="9"/>
  <c r="P105" i="9" s="1"/>
  <c r="I105" i="9"/>
  <c r="H105" i="9"/>
  <c r="N105" i="9" s="1"/>
  <c r="V104" i="9"/>
  <c r="M103" i="9"/>
  <c r="K103" i="9" s="1"/>
  <c r="I103" i="9"/>
  <c r="H103" i="9"/>
  <c r="N103" i="9" s="1"/>
  <c r="K102" i="9"/>
  <c r="J102" i="9"/>
  <c r="P102" i="9" s="1"/>
  <c r="I102" i="9"/>
  <c r="H102" i="9"/>
  <c r="N102" i="9" s="1"/>
  <c r="V101" i="9"/>
  <c r="M100" i="9"/>
  <c r="K100" i="9" s="1"/>
  <c r="I100" i="9"/>
  <c r="H100" i="9"/>
  <c r="N100" i="9" s="1"/>
  <c r="K99" i="9"/>
  <c r="J99" i="9"/>
  <c r="P99" i="9" s="1"/>
  <c r="I99" i="9"/>
  <c r="H99" i="9"/>
  <c r="N99" i="9" s="1"/>
  <c r="V98" i="9"/>
  <c r="M97" i="9"/>
  <c r="K97" i="9" s="1"/>
  <c r="J97" i="9"/>
  <c r="P97" i="9" s="1"/>
  <c r="I97" i="9"/>
  <c r="H97" i="9"/>
  <c r="N97" i="9" s="1"/>
  <c r="K96" i="9"/>
  <c r="J96" i="9"/>
  <c r="P96" i="9" s="1"/>
  <c r="I96" i="9"/>
  <c r="H96" i="9"/>
  <c r="N96" i="9" s="1"/>
  <c r="V95" i="9"/>
  <c r="M94" i="9"/>
  <c r="K94" i="9"/>
  <c r="J94" i="9"/>
  <c r="P94" i="9" s="1"/>
  <c r="I94" i="9"/>
  <c r="H94" i="9"/>
  <c r="N94" i="9" s="1"/>
  <c r="K93" i="9"/>
  <c r="Q93" i="9" s="1"/>
  <c r="J93" i="9"/>
  <c r="P93" i="9" s="1"/>
  <c r="I93" i="9"/>
  <c r="O93" i="9" s="1"/>
  <c r="H93" i="9"/>
  <c r="N93" i="9" s="1"/>
  <c r="V92" i="9"/>
  <c r="M91" i="9"/>
  <c r="J91" i="9" s="1"/>
  <c r="K91" i="9"/>
  <c r="P91" i="9"/>
  <c r="I91" i="9"/>
  <c r="H91" i="9"/>
  <c r="N91" i="9" s="1"/>
  <c r="K90" i="9"/>
  <c r="P90" i="9"/>
  <c r="N90" i="9"/>
  <c r="V89" i="9"/>
  <c r="J100" i="9" l="1"/>
  <c r="P100" i="9" s="1"/>
  <c r="O102" i="9"/>
  <c r="O105" i="9"/>
  <c r="O108" i="9"/>
  <c r="O94" i="9"/>
  <c r="O111" i="9"/>
  <c r="O112" i="9"/>
  <c r="J118" i="9"/>
  <c r="P118" i="9" s="1"/>
  <c r="O120" i="9"/>
  <c r="O103" i="9"/>
  <c r="O106" i="9"/>
  <c r="O109" i="9"/>
  <c r="O121" i="9"/>
  <c r="S121" i="9" s="1"/>
  <c r="O96" i="9"/>
  <c r="Q96" i="9"/>
  <c r="O97" i="9"/>
  <c r="R97" i="9" s="1"/>
  <c r="O99" i="9"/>
  <c r="O100" i="9"/>
  <c r="S100" i="9" s="1"/>
  <c r="Q100" i="9"/>
  <c r="J103" i="9"/>
  <c r="P103" i="9" s="1"/>
  <c r="J106" i="9"/>
  <c r="P106" i="9" s="1"/>
  <c r="Q106" i="9" s="1"/>
  <c r="T106" i="9" s="1"/>
  <c r="O115" i="9"/>
  <c r="S115" i="9" s="1"/>
  <c r="Q115" i="9"/>
  <c r="O117" i="9"/>
  <c r="O118" i="9"/>
  <c r="Q118" i="9"/>
  <c r="T118" i="9" s="1"/>
  <c r="J121" i="9"/>
  <c r="P121" i="9" s="1"/>
  <c r="Q121" i="9" s="1"/>
  <c r="T121" i="9" s="1"/>
  <c r="Q120" i="9"/>
  <c r="T120" i="9" s="1"/>
  <c r="E79" i="9" s="1"/>
  <c r="S120" i="9"/>
  <c r="R120" i="9"/>
  <c r="R121" i="9"/>
  <c r="Q117" i="9"/>
  <c r="T117" i="9" s="1"/>
  <c r="E78" i="9" s="1"/>
  <c r="S117" i="9"/>
  <c r="R117" i="9"/>
  <c r="R118" i="9"/>
  <c r="S118" i="9"/>
  <c r="T115" i="9"/>
  <c r="O114" i="9"/>
  <c r="Q114" i="9"/>
  <c r="T114" i="9"/>
  <c r="E77" i="9" s="1"/>
  <c r="R115" i="9"/>
  <c r="Q112" i="9"/>
  <c r="T112" i="9" s="1"/>
  <c r="Q111" i="9"/>
  <c r="T111" i="9" s="1"/>
  <c r="E76" i="9" s="1"/>
  <c r="R111" i="9"/>
  <c r="S111" i="9"/>
  <c r="S112" i="9"/>
  <c r="R112" i="9"/>
  <c r="Q109" i="9"/>
  <c r="Q108" i="9"/>
  <c r="T108" i="9" s="1"/>
  <c r="E75" i="9" s="1"/>
  <c r="S108" i="9"/>
  <c r="R108" i="9"/>
  <c r="T109" i="9"/>
  <c r="R109" i="9"/>
  <c r="S109" i="9"/>
  <c r="Q105" i="9"/>
  <c r="T105" i="9" s="1"/>
  <c r="E74" i="9" s="1"/>
  <c r="S105" i="9"/>
  <c r="R105" i="9"/>
  <c r="R106" i="9"/>
  <c r="S106" i="9"/>
  <c r="Q102" i="9"/>
  <c r="T102" i="9" s="1"/>
  <c r="E73" i="9" s="1"/>
  <c r="S102" i="9"/>
  <c r="R102" i="9"/>
  <c r="R103" i="9"/>
  <c r="S103" i="9"/>
  <c r="Q99" i="9"/>
  <c r="T99" i="9" s="1"/>
  <c r="E72" i="9" s="1"/>
  <c r="S99" i="9"/>
  <c r="R99" i="9"/>
  <c r="T100" i="9"/>
  <c r="R100" i="9"/>
  <c r="Q97" i="9"/>
  <c r="S96" i="9"/>
  <c r="R96" i="9"/>
  <c r="T96" i="9"/>
  <c r="E71" i="9" s="1"/>
  <c r="T97" i="9"/>
  <c r="S97" i="9"/>
  <c r="Q94" i="9"/>
  <c r="S93" i="9"/>
  <c r="R93" i="9"/>
  <c r="T93" i="9"/>
  <c r="E70" i="9" s="1"/>
  <c r="T94" i="9"/>
  <c r="R94" i="9"/>
  <c r="S94" i="9"/>
  <c r="O90" i="9"/>
  <c r="R90" i="9" s="1"/>
  <c r="Q90" i="9"/>
  <c r="T90" i="9" s="1"/>
  <c r="E69" i="9" s="1"/>
  <c r="O91" i="9"/>
  <c r="Q91" i="9"/>
  <c r="T91" i="9" s="1"/>
  <c r="K4" i="9"/>
  <c r="J4" i="9"/>
  <c r="P4" i="9" s="1"/>
  <c r="N4" i="9"/>
  <c r="H3" i="9"/>
  <c r="I3" i="9"/>
  <c r="J3" i="9"/>
  <c r="K3" i="9"/>
  <c r="A74" i="9" s="1"/>
  <c r="H8" i="9"/>
  <c r="I8" i="9"/>
  <c r="J8" i="9"/>
  <c r="K8" i="9"/>
  <c r="H9" i="9"/>
  <c r="I9" i="9"/>
  <c r="J9" i="9"/>
  <c r="K9" i="9"/>
  <c r="H10" i="9"/>
  <c r="I10" i="9"/>
  <c r="J10" i="9"/>
  <c r="K10" i="9"/>
  <c r="H11" i="9"/>
  <c r="I11" i="9"/>
  <c r="J11" i="9"/>
  <c r="K11" i="9"/>
  <c r="H12" i="9"/>
  <c r="I12" i="9"/>
  <c r="J12" i="9"/>
  <c r="K12" i="9"/>
  <c r="H13" i="9"/>
  <c r="I13" i="9"/>
  <c r="J13" i="9"/>
  <c r="K13" i="9"/>
  <c r="N8" i="9"/>
  <c r="P8" i="9"/>
  <c r="N9" i="9"/>
  <c r="P9" i="9"/>
  <c r="N10" i="9"/>
  <c r="P10" i="9"/>
  <c r="N11" i="9"/>
  <c r="P11" i="9"/>
  <c r="N13" i="9"/>
  <c r="H14" i="9"/>
  <c r="N14" i="9" s="1"/>
  <c r="I14" i="9"/>
  <c r="J14" i="9"/>
  <c r="P14" i="9" s="1"/>
  <c r="K14" i="9"/>
  <c r="H15" i="9"/>
  <c r="N15" i="9" s="1"/>
  <c r="I15" i="9"/>
  <c r="J15" i="9"/>
  <c r="P15" i="9" s="1"/>
  <c r="K15" i="9"/>
  <c r="H16" i="9"/>
  <c r="N16" i="9" s="1"/>
  <c r="I16" i="9"/>
  <c r="J16" i="9"/>
  <c r="P16" i="9" s="1"/>
  <c r="K16" i="9"/>
  <c r="D19" i="9" l="1"/>
  <c r="C19" i="9"/>
  <c r="A20" i="9" s="1"/>
  <c r="C20" i="9" s="1"/>
  <c r="Q14" i="9"/>
  <c r="T14" i="9" s="1"/>
  <c r="O14" i="9"/>
  <c r="R14" i="9" s="1"/>
  <c r="Q16" i="9"/>
  <c r="T16" i="9" s="1"/>
  <c r="C119" i="9"/>
  <c r="C116" i="9"/>
  <c r="C113" i="9"/>
  <c r="D110" i="9"/>
  <c r="D112" i="9" s="1"/>
  <c r="J76" i="9" s="1"/>
  <c r="D107" i="9"/>
  <c r="D109" i="9" s="1"/>
  <c r="J75" i="9" s="1"/>
  <c r="D104" i="9"/>
  <c r="D106" i="9" s="1"/>
  <c r="J74" i="9" s="1"/>
  <c r="C101" i="9"/>
  <c r="D98" i="9"/>
  <c r="D100" i="9" s="1"/>
  <c r="J72" i="9" s="1"/>
  <c r="C95" i="9"/>
  <c r="D92" i="9"/>
  <c r="D94" i="9" s="1"/>
  <c r="J70" i="9" s="1"/>
  <c r="D89" i="9"/>
  <c r="D91" i="9" s="1"/>
  <c r="J69" i="9" s="1"/>
  <c r="D21" i="9"/>
  <c r="D119" i="9"/>
  <c r="D121" i="9" s="1"/>
  <c r="J79" i="9" s="1"/>
  <c r="D116" i="9"/>
  <c r="D118" i="9" s="1"/>
  <c r="J78" i="9" s="1"/>
  <c r="D113" i="9"/>
  <c r="D115" i="9" s="1"/>
  <c r="J77" i="9" s="1"/>
  <c r="C110" i="9"/>
  <c r="C107" i="9"/>
  <c r="A108" i="9" s="1"/>
  <c r="H75" i="9" s="1"/>
  <c r="C104" i="9"/>
  <c r="D101" i="9"/>
  <c r="D103" i="9" s="1"/>
  <c r="J73" i="9" s="1"/>
  <c r="C98" i="9"/>
  <c r="D95" i="9"/>
  <c r="D97" i="9" s="1"/>
  <c r="J71" i="9" s="1"/>
  <c r="C92" i="9"/>
  <c r="C89" i="9"/>
  <c r="Q103" i="9"/>
  <c r="T103" i="9" s="1"/>
  <c r="Y103" i="9" s="1"/>
  <c r="Q15" i="9"/>
  <c r="T15" i="9" s="1"/>
  <c r="A12" i="9"/>
  <c r="Y115" i="9"/>
  <c r="Y121" i="9"/>
  <c r="Y118" i="9"/>
  <c r="R114" i="9"/>
  <c r="S114" i="9"/>
  <c r="Y112" i="9"/>
  <c r="Y109" i="9"/>
  <c r="Y106" i="9"/>
  <c r="Y100" i="9"/>
  <c r="Y97" i="9"/>
  <c r="Y94" i="9"/>
  <c r="Y91" i="9"/>
  <c r="R91" i="9"/>
  <c r="S91" i="9"/>
  <c r="S90" i="9"/>
  <c r="O4" i="9"/>
  <c r="R4" i="9" s="1"/>
  <c r="Q4" i="9"/>
  <c r="T4" i="9" s="1"/>
  <c r="C12" i="9"/>
  <c r="A13" i="9" s="1"/>
  <c r="A14" i="9" s="1"/>
  <c r="D12" i="9"/>
  <c r="D14" i="9" s="1"/>
  <c r="O13" i="9"/>
  <c r="R13" i="9" s="1"/>
  <c r="Q11" i="9"/>
  <c r="T11" i="9" s="1"/>
  <c r="C13" i="9"/>
  <c r="C14" i="9" s="1"/>
  <c r="O16" i="9"/>
  <c r="S16" i="9" s="1"/>
  <c r="Q10" i="9"/>
  <c r="T10" i="9" s="1"/>
  <c r="O10" i="9"/>
  <c r="R10" i="9" s="1"/>
  <c r="O9" i="9"/>
  <c r="R9" i="9" s="1"/>
  <c r="Q8" i="9"/>
  <c r="T8" i="9" s="1"/>
  <c r="O8" i="9"/>
  <c r="R8" i="9" s="1"/>
  <c r="R16" i="9"/>
  <c r="S14" i="9"/>
  <c r="O15" i="9"/>
  <c r="R15" i="9" s="1"/>
  <c r="O11" i="9"/>
  <c r="R11" i="9" s="1"/>
  <c r="Q9" i="9"/>
  <c r="T9" i="9" s="1"/>
  <c r="S13" i="9"/>
  <c r="S11" i="9"/>
  <c r="S9" i="9"/>
  <c r="A21" i="9" l="1"/>
  <c r="U114" i="9"/>
  <c r="C21" i="9"/>
  <c r="V111" i="9"/>
  <c r="A93" i="9"/>
  <c r="A99" i="9"/>
  <c r="A105" i="9"/>
  <c r="A111" i="9"/>
  <c r="A117" i="9"/>
  <c r="S15" i="9"/>
  <c r="U121" i="9"/>
  <c r="U120" i="9"/>
  <c r="U118" i="9"/>
  <c r="U117" i="9"/>
  <c r="U109" i="9"/>
  <c r="U108" i="9"/>
  <c r="U106" i="9"/>
  <c r="U105" i="9"/>
  <c r="U103" i="9"/>
  <c r="U102" i="9"/>
  <c r="U100" i="9"/>
  <c r="U99" i="9"/>
  <c r="U97" i="9"/>
  <c r="U96" i="9"/>
  <c r="U115" i="9"/>
  <c r="U111" i="9"/>
  <c r="U112" i="9"/>
  <c r="U94" i="9"/>
  <c r="AA94" i="9" s="1"/>
  <c r="U93" i="9"/>
  <c r="U90" i="9"/>
  <c r="AA100" i="9"/>
  <c r="U91" i="9"/>
  <c r="AA91" i="9" s="1"/>
  <c r="A90" i="9"/>
  <c r="C108" i="9"/>
  <c r="C109" i="9" s="1"/>
  <c r="A96" i="9"/>
  <c r="A102" i="9"/>
  <c r="A114" i="9"/>
  <c r="A120" i="9"/>
  <c r="AA118" i="9"/>
  <c r="AA109" i="9"/>
  <c r="AA103" i="9"/>
  <c r="V4" i="9"/>
  <c r="U4" i="9"/>
  <c r="S4" i="9"/>
  <c r="U9" i="9"/>
  <c r="U11" i="9"/>
  <c r="U13" i="9"/>
  <c r="U15" i="9"/>
  <c r="U8" i="9"/>
  <c r="U10" i="9"/>
  <c r="U14" i="9"/>
  <c r="U16" i="9"/>
  <c r="N12" i="9"/>
  <c r="S10" i="9"/>
  <c r="S8" i="9"/>
  <c r="P3" i="9"/>
  <c r="N3" i="9"/>
  <c r="V109" i="9" l="1"/>
  <c r="K75" i="9" s="1"/>
  <c r="I75" i="9"/>
  <c r="C120" i="9"/>
  <c r="C121" i="9" s="1"/>
  <c r="H79" i="9"/>
  <c r="C114" i="9"/>
  <c r="C115" i="9" s="1"/>
  <c r="H77" i="9"/>
  <c r="C102" i="9"/>
  <c r="C103" i="9" s="1"/>
  <c r="H73" i="9"/>
  <c r="C96" i="9"/>
  <c r="C97" i="9" s="1"/>
  <c r="H71" i="9"/>
  <c r="C90" i="9"/>
  <c r="C91" i="9" s="1"/>
  <c r="H69" i="9"/>
  <c r="C117" i="9"/>
  <c r="C118" i="9" s="1"/>
  <c r="H78" i="9"/>
  <c r="C111" i="9"/>
  <c r="C112" i="9" s="1"/>
  <c r="H76" i="9"/>
  <c r="C105" i="9"/>
  <c r="C106" i="9" s="1"/>
  <c r="H74" i="9"/>
  <c r="C99" i="9"/>
  <c r="C100" i="9" s="1"/>
  <c r="H72" i="9"/>
  <c r="C93" i="9"/>
  <c r="C94" i="9" s="1"/>
  <c r="H70" i="9"/>
  <c r="V120" i="9"/>
  <c r="V16" i="9"/>
  <c r="V9" i="9"/>
  <c r="V114" i="9"/>
  <c r="V105" i="9"/>
  <c r="V10" i="9"/>
  <c r="V13" i="9"/>
  <c r="V90" i="9"/>
  <c r="V99" i="9"/>
  <c r="V117" i="9"/>
  <c r="V14" i="9"/>
  <c r="V8" i="9"/>
  <c r="V15" i="9"/>
  <c r="V11" i="9"/>
  <c r="V93" i="9"/>
  <c r="V96" i="9"/>
  <c r="V102" i="9"/>
  <c r="V108" i="9"/>
  <c r="AA115" i="9"/>
  <c r="AA97" i="9"/>
  <c r="AA106" i="9"/>
  <c r="AA112" i="9"/>
  <c r="AA121" i="9"/>
  <c r="AC109" i="9"/>
  <c r="O12" i="9"/>
  <c r="S12" i="9" s="1"/>
  <c r="P12" i="9"/>
  <c r="Q12" i="9" s="1"/>
  <c r="T12" i="9" s="1"/>
  <c r="P13" i="9"/>
  <c r="Q13" i="9" s="1"/>
  <c r="T13" i="9" s="1"/>
  <c r="Q3" i="9"/>
  <c r="T3" i="9" s="1"/>
  <c r="Y4" i="9" s="1"/>
  <c r="E27" i="9" s="1"/>
  <c r="E28" i="9" s="1"/>
  <c r="O3" i="9"/>
  <c r="R12" i="9" l="1"/>
  <c r="V94" i="9"/>
  <c r="I70" i="9"/>
  <c r="V100" i="9"/>
  <c r="I72" i="9"/>
  <c r="V106" i="9"/>
  <c r="I74" i="9"/>
  <c r="V112" i="9"/>
  <c r="I76" i="9"/>
  <c r="V118" i="9"/>
  <c r="I78" i="9"/>
  <c r="I69" i="9"/>
  <c r="V97" i="9"/>
  <c r="I71" i="9"/>
  <c r="V103" i="9"/>
  <c r="I73" i="9"/>
  <c r="V115" i="9"/>
  <c r="I77" i="9"/>
  <c r="V121" i="9"/>
  <c r="I79" i="9"/>
  <c r="V12" i="9"/>
  <c r="U12" i="9"/>
  <c r="S3" i="9"/>
  <c r="X10" i="9" s="1"/>
  <c r="V3" i="9"/>
  <c r="B4" i="9"/>
  <c r="U3" i="9"/>
  <c r="X11" i="9"/>
  <c r="X12" i="9"/>
  <c r="X14" i="9"/>
  <c r="X13" i="9"/>
  <c r="X16" i="9"/>
  <c r="Y16" i="9"/>
  <c r="Y10" i="9"/>
  <c r="Y8" i="9"/>
  <c r="Y11" i="9"/>
  <c r="Y14" i="9"/>
  <c r="Y12" i="9"/>
  <c r="AA12" i="9" s="1"/>
  <c r="Y15" i="9"/>
  <c r="Y9" i="9"/>
  <c r="Y13" i="9"/>
  <c r="R3" i="9"/>
  <c r="F32" i="8"/>
  <c r="I26" i="8"/>
  <c r="F9" i="8"/>
  <c r="I8" i="8"/>
  <c r="F8" i="8"/>
  <c r="I7" i="8"/>
  <c r="F147" i="8" s="1"/>
  <c r="F149" i="8" s="1"/>
  <c r="F169" i="8" s="1"/>
  <c r="F7" i="8"/>
  <c r="E147" i="8" s="1"/>
  <c r="X9" i="8"/>
  <c r="W9" i="8"/>
  <c r="V9" i="8"/>
  <c r="N116" i="8"/>
  <c r="M116" i="8"/>
  <c r="N114" i="8"/>
  <c r="M114" i="8"/>
  <c r="N112" i="8"/>
  <c r="V112" i="8" s="1"/>
  <c r="M112" i="8"/>
  <c r="U112" i="8" s="1"/>
  <c r="N109" i="8"/>
  <c r="V109" i="8" s="1"/>
  <c r="M109" i="8"/>
  <c r="U109" i="8" s="1"/>
  <c r="N107" i="8"/>
  <c r="V107" i="8" s="1"/>
  <c r="M107" i="8"/>
  <c r="U107" i="8" s="1"/>
  <c r="N105" i="8"/>
  <c r="V105" i="8" s="1"/>
  <c r="M105" i="8"/>
  <c r="U105" i="8" s="1"/>
  <c r="I103" i="8"/>
  <c r="C103" i="8"/>
  <c r="N102" i="8"/>
  <c r="V102" i="8" s="1"/>
  <c r="M102" i="8"/>
  <c r="U102" i="8" s="1"/>
  <c r="N101" i="8"/>
  <c r="V101" i="8" s="1"/>
  <c r="M101" i="8"/>
  <c r="U101" i="8" s="1"/>
  <c r="C101" i="8"/>
  <c r="N100" i="8"/>
  <c r="V100" i="8" s="1"/>
  <c r="V106" i="8" s="1"/>
  <c r="M100" i="8"/>
  <c r="U100" i="8" s="1"/>
  <c r="U106" i="8" s="1"/>
  <c r="I74" i="8"/>
  <c r="F74" i="8"/>
  <c r="I73" i="8"/>
  <c r="F73" i="8"/>
  <c r="I49" i="8"/>
  <c r="C49" i="8"/>
  <c r="C48" i="8"/>
  <c r="N47" i="8"/>
  <c r="M47" i="8"/>
  <c r="C47" i="8"/>
  <c r="N46" i="8"/>
  <c r="M46" i="8"/>
  <c r="N45" i="8"/>
  <c r="N51" i="8" s="1"/>
  <c r="M45" i="8"/>
  <c r="M51" i="8" s="1"/>
  <c r="M53" i="8" s="1"/>
  <c r="I33" i="8"/>
  <c r="F33" i="8"/>
  <c r="I32" i="8"/>
  <c r="N110" i="8"/>
  <c r="M110" i="8"/>
  <c r="N108" i="8"/>
  <c r="F37" i="8"/>
  <c r="M106" i="8"/>
  <c r="F112" i="8" s="1"/>
  <c r="C10" i="8"/>
  <c r="C152" i="8" s="1"/>
  <c r="C174" i="8" s="1"/>
  <c r="F103" i="8"/>
  <c r="U110" i="8" l="1"/>
  <c r="U117" i="8" s="1"/>
  <c r="U108" i="8"/>
  <c r="U115" i="8" s="1"/>
  <c r="U113" i="8"/>
  <c r="I126" i="8"/>
  <c r="I125" i="8"/>
  <c r="I138" i="8" s="1"/>
  <c r="F126" i="8"/>
  <c r="F125" i="8"/>
  <c r="F49" i="8"/>
  <c r="F54" i="8" s="1"/>
  <c r="E148" i="8"/>
  <c r="E149" i="8" s="1"/>
  <c r="E169" i="8" s="1"/>
  <c r="K79" i="9"/>
  <c r="AC121" i="9"/>
  <c r="K77" i="9"/>
  <c r="AC115" i="9"/>
  <c r="K73" i="9"/>
  <c r="AC103" i="9"/>
  <c r="K71" i="9"/>
  <c r="AC97" i="9"/>
  <c r="K78" i="9"/>
  <c r="AC118" i="9"/>
  <c r="K76" i="9"/>
  <c r="AC112" i="9"/>
  <c r="K74" i="9"/>
  <c r="AC106" i="9"/>
  <c r="K72" i="9"/>
  <c r="AC100" i="9"/>
  <c r="K70" i="9"/>
  <c r="AC94" i="9"/>
  <c r="F136" i="8"/>
  <c r="E159" i="8"/>
  <c r="N55" i="8"/>
  <c r="N53" i="8"/>
  <c r="I75" i="8"/>
  <c r="V108" i="8"/>
  <c r="V110" i="8"/>
  <c r="V113" i="8"/>
  <c r="F133" i="8"/>
  <c r="F132" i="8"/>
  <c r="X8" i="9"/>
  <c r="X15" i="9"/>
  <c r="X9" i="9"/>
  <c r="M60" i="8"/>
  <c r="M58" i="8"/>
  <c r="N58" i="8" s="1"/>
  <c r="B5" i="9"/>
  <c r="W103" i="9"/>
  <c r="W109" i="9"/>
  <c r="W115" i="9"/>
  <c r="W118" i="9"/>
  <c r="W97" i="9"/>
  <c r="W94" i="9"/>
  <c r="W100" i="9"/>
  <c r="W106" i="9"/>
  <c r="W112" i="9"/>
  <c r="W121" i="9"/>
  <c r="W4" i="9"/>
  <c r="E25" i="9" s="1"/>
  <c r="W91" i="9"/>
  <c r="AA9" i="9"/>
  <c r="AC9" i="9"/>
  <c r="AA11" i="9"/>
  <c r="AC11" i="9"/>
  <c r="AA10" i="9"/>
  <c r="AC10" i="9"/>
  <c r="AA13" i="9"/>
  <c r="AC13" i="9"/>
  <c r="AA15" i="9"/>
  <c r="AC15" i="9"/>
  <c r="AA14" i="9"/>
  <c r="AC14" i="9"/>
  <c r="AC8" i="9"/>
  <c r="AA8" i="9"/>
  <c r="AA16" i="9"/>
  <c r="AC16" i="9"/>
  <c r="AA4" i="9"/>
  <c r="AC4" i="9"/>
  <c r="AC12" i="9"/>
  <c r="B6" i="9"/>
  <c r="X115" i="9"/>
  <c r="X100" i="9"/>
  <c r="X121" i="9"/>
  <c r="X97" i="9"/>
  <c r="X103" i="9"/>
  <c r="X109" i="9"/>
  <c r="X94" i="9"/>
  <c r="X106" i="9"/>
  <c r="X112" i="9"/>
  <c r="X118" i="9"/>
  <c r="X91" i="9"/>
  <c r="X4" i="9"/>
  <c r="C16" i="8"/>
  <c r="F78" i="8"/>
  <c r="I37" i="8"/>
  <c r="I78" i="8" s="1"/>
  <c r="F36" i="8"/>
  <c r="F38" i="8"/>
  <c r="F79" i="8" s="1"/>
  <c r="W14" i="9"/>
  <c r="W9" i="9"/>
  <c r="W10" i="9"/>
  <c r="W13" i="9"/>
  <c r="W11" i="9"/>
  <c r="W12" i="9"/>
  <c r="Z12" i="9" s="1"/>
  <c r="W15" i="9"/>
  <c r="W8" i="9"/>
  <c r="W16" i="9"/>
  <c r="I29" i="8"/>
  <c r="I76" i="8"/>
  <c r="I79" i="8"/>
  <c r="C50" i="8"/>
  <c r="I67" i="8"/>
  <c r="C18" i="8"/>
  <c r="C17" i="8"/>
  <c r="M55" i="8"/>
  <c r="M62" i="8" s="1"/>
  <c r="N62" i="8" s="1"/>
  <c r="N115" i="8"/>
  <c r="M113" i="8"/>
  <c r="N117" i="8"/>
  <c r="N113" i="8"/>
  <c r="M115" i="8"/>
  <c r="M117" i="8"/>
  <c r="I101" i="8"/>
  <c r="I47" i="8"/>
  <c r="N106" i="8"/>
  <c r="I13" i="8"/>
  <c r="F14" i="8"/>
  <c r="F106" i="8"/>
  <c r="C106" i="8"/>
  <c r="C107" i="8" s="1"/>
  <c r="C114" i="8" s="1"/>
  <c r="C117" i="8" s="1"/>
  <c r="I106" i="8"/>
  <c r="I69" i="7"/>
  <c r="I68" i="7"/>
  <c r="F69" i="7"/>
  <c r="F68" i="7"/>
  <c r="E138" i="7" s="1"/>
  <c r="R112" i="8" l="1"/>
  <c r="Q115" i="8" s="1"/>
  <c r="F138" i="7"/>
  <c r="F140" i="7" s="1"/>
  <c r="V115" i="8"/>
  <c r="F110" i="8"/>
  <c r="I110" i="8"/>
  <c r="AB12" i="9"/>
  <c r="F138" i="8"/>
  <c r="F181" i="8"/>
  <c r="V117" i="8"/>
  <c r="R103" i="8" s="1"/>
  <c r="N60" i="8"/>
  <c r="P103" i="8"/>
  <c r="I38" i="8"/>
  <c r="Z16" i="9"/>
  <c r="AB16" i="9"/>
  <c r="Z15" i="9"/>
  <c r="AB15" i="9"/>
  <c r="Z11" i="9"/>
  <c r="AB11" i="9"/>
  <c r="Z10" i="9"/>
  <c r="AB10" i="9"/>
  <c r="Z14" i="9"/>
  <c r="AB14" i="9"/>
  <c r="AB4" i="9"/>
  <c r="Z4" i="9"/>
  <c r="AB112" i="9"/>
  <c r="Z112" i="9"/>
  <c r="AB100" i="9"/>
  <c r="Z100" i="9"/>
  <c r="Z97" i="9"/>
  <c r="AB97" i="9"/>
  <c r="AB115" i="9"/>
  <c r="Z115" i="9"/>
  <c r="AB103" i="9"/>
  <c r="Z103" i="9"/>
  <c r="Z8" i="9"/>
  <c r="AB8" i="9"/>
  <c r="Z13" i="9"/>
  <c r="AB13" i="9"/>
  <c r="Z9" i="9"/>
  <c r="AB9" i="9"/>
  <c r="AB91" i="9"/>
  <c r="Z121" i="9"/>
  <c r="AB121" i="9"/>
  <c r="Z106" i="9"/>
  <c r="AB106" i="9"/>
  <c r="AB94" i="9"/>
  <c r="Z94" i="9"/>
  <c r="Z118" i="9"/>
  <c r="AB118" i="9"/>
  <c r="AB109" i="9"/>
  <c r="Z109" i="9"/>
  <c r="F77" i="8"/>
  <c r="I36" i="8"/>
  <c r="I77" i="8" s="1"/>
  <c r="C58" i="8"/>
  <c r="D58" i="8" s="1"/>
  <c r="I54" i="8"/>
  <c r="I55" i="8" s="1"/>
  <c r="I16" i="8"/>
  <c r="I27" i="8" s="1"/>
  <c r="I28" i="8" s="1"/>
  <c r="I30" i="8" s="1"/>
  <c r="F101" i="8"/>
  <c r="F13" i="8"/>
  <c r="F10" i="8"/>
  <c r="F47" i="8"/>
  <c r="I102" i="8"/>
  <c r="I105" i="8" s="1"/>
  <c r="I121" i="8" s="1"/>
  <c r="I48" i="8"/>
  <c r="F102" i="8"/>
  <c r="F48" i="8"/>
  <c r="I10" i="8"/>
  <c r="I31" i="7"/>
  <c r="I30" i="7"/>
  <c r="F30" i="7"/>
  <c r="F31" i="7"/>
  <c r="E157" i="8" l="1"/>
  <c r="E161" i="8" s="1"/>
  <c r="E170" i="8" s="1"/>
  <c r="E171" i="8" s="1"/>
  <c r="I129" i="8"/>
  <c r="I139" i="8" s="1"/>
  <c r="F129" i="8"/>
  <c r="F139" i="8" s="1"/>
  <c r="E182" i="8" s="1"/>
  <c r="E181" i="8"/>
  <c r="F140" i="8"/>
  <c r="E183" i="8" s="1"/>
  <c r="F157" i="8"/>
  <c r="F161" i="8" s="1"/>
  <c r="F170" i="8" s="1"/>
  <c r="F171" i="8" s="1"/>
  <c r="C56" i="8"/>
  <c r="C57" i="8"/>
  <c r="D57" i="8" s="1"/>
  <c r="D20" i="8"/>
  <c r="P102" i="8"/>
  <c r="R102" i="8"/>
  <c r="P101" i="8"/>
  <c r="R101" i="8"/>
  <c r="I70" i="8"/>
  <c r="J89" i="8" s="1"/>
  <c r="F39" i="8"/>
  <c r="I107" i="8"/>
  <c r="I118" i="8" s="1"/>
  <c r="I117" i="8" s="1"/>
  <c r="I53" i="8"/>
  <c r="I56" i="8" s="1"/>
  <c r="I68" i="8" s="1"/>
  <c r="I69" i="8" s="1"/>
  <c r="C19" i="8"/>
  <c r="F105" i="8"/>
  <c r="F121" i="8" s="1"/>
  <c r="I80" i="8"/>
  <c r="I81" i="8" s="1"/>
  <c r="I39" i="8"/>
  <c r="I50" i="8"/>
  <c r="F80" i="8"/>
  <c r="F53" i="8"/>
  <c r="F56" i="8" s="1"/>
  <c r="F50" i="8"/>
  <c r="F16" i="8"/>
  <c r="I96" i="7"/>
  <c r="C96" i="7"/>
  <c r="C95" i="7"/>
  <c r="C94" i="7"/>
  <c r="I47" i="7"/>
  <c r="C47" i="7"/>
  <c r="C46" i="7"/>
  <c r="C45" i="7"/>
  <c r="C48" i="7" s="1"/>
  <c r="F8" i="7"/>
  <c r="I35" i="7" s="1"/>
  <c r="F7" i="7"/>
  <c r="I4" i="7"/>
  <c r="I114" i="7" s="1"/>
  <c r="C4" i="7"/>
  <c r="N109" i="7"/>
  <c r="M109" i="7"/>
  <c r="N107" i="7"/>
  <c r="M107" i="7"/>
  <c r="N105" i="7"/>
  <c r="M105" i="7"/>
  <c r="N102" i="7"/>
  <c r="M102" i="7"/>
  <c r="N100" i="7"/>
  <c r="M100" i="7"/>
  <c r="F99" i="7"/>
  <c r="N98" i="7"/>
  <c r="M98" i="7"/>
  <c r="N95" i="7"/>
  <c r="M95" i="7"/>
  <c r="N94" i="7"/>
  <c r="M94" i="7"/>
  <c r="N93" i="7"/>
  <c r="M93" i="7"/>
  <c r="N45" i="7"/>
  <c r="M45" i="7"/>
  <c r="N44" i="7"/>
  <c r="M44" i="7"/>
  <c r="N43" i="7"/>
  <c r="M43" i="7"/>
  <c r="N103" i="7"/>
  <c r="M103" i="7"/>
  <c r="N101" i="7"/>
  <c r="M101" i="7"/>
  <c r="N99" i="7"/>
  <c r="M99" i="7"/>
  <c r="C10" i="7"/>
  <c r="N51" i="7" l="1"/>
  <c r="N49" i="7"/>
  <c r="N53" i="7"/>
  <c r="F35" i="7"/>
  <c r="E144" i="7"/>
  <c r="I119" i="7"/>
  <c r="I118" i="7"/>
  <c r="F119" i="7"/>
  <c r="F118" i="7"/>
  <c r="F126" i="7"/>
  <c r="F125" i="7"/>
  <c r="F182" i="8"/>
  <c r="I140" i="8"/>
  <c r="F183" i="8" s="1"/>
  <c r="M53" i="7"/>
  <c r="M60" i="7" s="1"/>
  <c r="M49" i="7"/>
  <c r="M56" i="7" s="1"/>
  <c r="M51" i="7"/>
  <c r="M58" i="7" s="1"/>
  <c r="N58" i="7" s="1"/>
  <c r="I126" i="7"/>
  <c r="I125" i="7"/>
  <c r="I114" i="8"/>
  <c r="E60" i="8"/>
  <c r="E20" i="8"/>
  <c r="E19" i="8"/>
  <c r="R104" i="8"/>
  <c r="Q107" i="8" s="1"/>
  <c r="Q119" i="8" s="1"/>
  <c r="P104" i="8"/>
  <c r="J93" i="8"/>
  <c r="I71" i="8"/>
  <c r="I87" i="8" s="1"/>
  <c r="J88" i="8"/>
  <c r="F107" i="8"/>
  <c r="D56" i="8"/>
  <c r="D59" i="8" s="1"/>
  <c r="C87" i="8" s="1"/>
  <c r="C91" i="8" s="1"/>
  <c r="C59" i="8"/>
  <c r="F46" i="7"/>
  <c r="F94" i="7"/>
  <c r="I7" i="7"/>
  <c r="I8" i="7"/>
  <c r="C17" i="7" s="1"/>
  <c r="F9" i="7"/>
  <c r="F45" i="7"/>
  <c r="F95" i="7"/>
  <c r="I26" i="7"/>
  <c r="I64" i="7"/>
  <c r="C99" i="7"/>
  <c r="C100" i="7" s="1"/>
  <c r="I99" i="7"/>
  <c r="F13" i="7"/>
  <c r="F34" i="7"/>
  <c r="F10" i="7"/>
  <c r="M106" i="7"/>
  <c r="I14" i="7"/>
  <c r="N108" i="7"/>
  <c r="N110" i="7"/>
  <c r="N106" i="7"/>
  <c r="M108" i="7"/>
  <c r="M110" i="7"/>
  <c r="N109" i="3"/>
  <c r="M109" i="3"/>
  <c r="N107" i="3"/>
  <c r="M107" i="3"/>
  <c r="N105" i="3"/>
  <c r="M105" i="3"/>
  <c r="N102" i="3"/>
  <c r="M102" i="3"/>
  <c r="N100" i="3"/>
  <c r="M100" i="3"/>
  <c r="N98" i="3"/>
  <c r="M98" i="3"/>
  <c r="N95" i="3"/>
  <c r="M95" i="3"/>
  <c r="N94" i="3"/>
  <c r="M94" i="3"/>
  <c r="N93" i="3"/>
  <c r="M93" i="3"/>
  <c r="C99" i="3"/>
  <c r="C100" i="3" s="1"/>
  <c r="I99" i="3"/>
  <c r="F99" i="3"/>
  <c r="I98" i="3"/>
  <c r="F98" i="3"/>
  <c r="I100" i="3" l="1"/>
  <c r="F118" i="8"/>
  <c r="F117" i="8" s="1"/>
  <c r="F114" i="8"/>
  <c r="I74" i="7"/>
  <c r="N56" i="7"/>
  <c r="F100" i="3"/>
  <c r="C18" i="7"/>
  <c r="E145" i="7"/>
  <c r="C16" i="7"/>
  <c r="F144" i="7"/>
  <c r="F146" i="7" s="1"/>
  <c r="F166" i="7" s="1"/>
  <c r="F131" i="7"/>
  <c r="I131" i="7"/>
  <c r="E146" i="7"/>
  <c r="E166" i="7" s="1"/>
  <c r="N60" i="7"/>
  <c r="F72" i="7"/>
  <c r="F73" i="7"/>
  <c r="I73" i="7"/>
  <c r="F51" i="7"/>
  <c r="I46" i="7"/>
  <c r="I72" i="7" s="1"/>
  <c r="I95" i="7"/>
  <c r="I34" i="7"/>
  <c r="F47" i="7"/>
  <c r="F14" i="7"/>
  <c r="F96" i="7"/>
  <c r="F98" i="7" s="1"/>
  <c r="F100" i="7" s="1"/>
  <c r="F36" i="7"/>
  <c r="I36" i="7" s="1"/>
  <c r="I94" i="7"/>
  <c r="I10" i="7"/>
  <c r="D19" i="7" s="1"/>
  <c r="I45" i="7"/>
  <c r="C54" i="7" s="1"/>
  <c r="I13" i="7"/>
  <c r="I15" i="7" s="1"/>
  <c r="I52" i="7"/>
  <c r="C19" i="7"/>
  <c r="C149" i="7" s="1"/>
  <c r="C171" i="7" s="1"/>
  <c r="F52" i="3"/>
  <c r="I48" i="3"/>
  <c r="F48" i="3"/>
  <c r="C48" i="3"/>
  <c r="F68" i="3"/>
  <c r="I67" i="3"/>
  <c r="F67" i="3"/>
  <c r="I66" i="3"/>
  <c r="F66" i="3"/>
  <c r="F69" i="3" s="1"/>
  <c r="N99" i="3"/>
  <c r="I31" i="3"/>
  <c r="I30" i="3"/>
  <c r="F32" i="3"/>
  <c r="F31" i="3"/>
  <c r="F30" i="3"/>
  <c r="F33" i="3" s="1"/>
  <c r="F86" i="3" s="1"/>
  <c r="E178" i="7" l="1"/>
  <c r="F178" i="7"/>
  <c r="C103" i="3"/>
  <c r="P122" i="8"/>
  <c r="I75" i="7"/>
  <c r="M18" i="3"/>
  <c r="M99" i="3"/>
  <c r="F126" i="3" s="1"/>
  <c r="F74" i="7"/>
  <c r="F75" i="7" s="1"/>
  <c r="C56" i="7"/>
  <c r="D56" i="7" s="1"/>
  <c r="C55" i="7"/>
  <c r="D55" i="7" s="1"/>
  <c r="I98" i="7"/>
  <c r="I100" i="7" s="1"/>
  <c r="I27" i="7"/>
  <c r="I28" i="7" s="1"/>
  <c r="I51" i="7"/>
  <c r="I53" i="7" s="1"/>
  <c r="I65" i="7" s="1"/>
  <c r="I48" i="7"/>
  <c r="F52" i="7"/>
  <c r="F65" i="7" s="1"/>
  <c r="F48" i="7"/>
  <c r="F15" i="7"/>
  <c r="E19" i="7" s="1"/>
  <c r="F27" i="7"/>
  <c r="F37" i="7"/>
  <c r="I37" i="7"/>
  <c r="D54" i="7"/>
  <c r="I10" i="3"/>
  <c r="F10" i="3"/>
  <c r="C10" i="3"/>
  <c r="C103" i="7" l="1"/>
  <c r="C104" i="3"/>
  <c r="I103" i="3"/>
  <c r="F103" i="3"/>
  <c r="C150" i="3"/>
  <c r="D57" i="7"/>
  <c r="C83" i="7" s="1"/>
  <c r="N18" i="3"/>
  <c r="C57" i="7"/>
  <c r="F53" i="7"/>
  <c r="E57" i="7" s="1"/>
  <c r="N45" i="3"/>
  <c r="M45" i="3"/>
  <c r="N44" i="3"/>
  <c r="M44" i="3"/>
  <c r="N43" i="3"/>
  <c r="M43" i="3"/>
  <c r="N103" i="3"/>
  <c r="N101" i="3"/>
  <c r="M53" i="3" l="1"/>
  <c r="M49" i="3"/>
  <c r="M51" i="3"/>
  <c r="F150" i="3"/>
  <c r="F154" i="3" s="1"/>
  <c r="F163" i="3" s="1"/>
  <c r="F164" i="3" s="1"/>
  <c r="I107" i="3"/>
  <c r="I111" i="3"/>
  <c r="I110" i="3" s="1"/>
  <c r="N51" i="3"/>
  <c r="N53" i="3"/>
  <c r="N49" i="3"/>
  <c r="E150" i="3"/>
  <c r="I122" i="3"/>
  <c r="I132" i="3" s="1"/>
  <c r="F122" i="3"/>
  <c r="I114" i="3"/>
  <c r="C105" i="3"/>
  <c r="D104" i="3"/>
  <c r="D151" i="3" s="1"/>
  <c r="C151" i="3"/>
  <c r="C154" i="7"/>
  <c r="I103" i="7"/>
  <c r="F103" i="7"/>
  <c r="C104" i="7"/>
  <c r="M22" i="3"/>
  <c r="N22" i="3" s="1"/>
  <c r="N110" i="3" s="1"/>
  <c r="M103" i="3"/>
  <c r="F125" i="3" s="1"/>
  <c r="F131" i="3" s="1"/>
  <c r="F26" i="8"/>
  <c r="F75" i="8"/>
  <c r="F76" i="8" s="1"/>
  <c r="F81" i="8" s="1"/>
  <c r="F34" i="8"/>
  <c r="F70" i="7"/>
  <c r="E139" i="7" s="1"/>
  <c r="E140" i="7" s="1"/>
  <c r="F32" i="7"/>
  <c r="F4" i="7"/>
  <c r="F114" i="7" s="1"/>
  <c r="M20" i="3"/>
  <c r="N20" i="3" s="1"/>
  <c r="N108" i="3" s="1"/>
  <c r="M101" i="3"/>
  <c r="F83" i="7"/>
  <c r="I66" i="7"/>
  <c r="I83" i="7" s="1"/>
  <c r="M106" i="3"/>
  <c r="M108" i="3"/>
  <c r="N106" i="3"/>
  <c r="I68" i="3"/>
  <c r="I69" i="3" s="1"/>
  <c r="I14" i="3"/>
  <c r="I51" i="3"/>
  <c r="F51" i="3"/>
  <c r="F53" i="3" s="1"/>
  <c r="I32" i="3"/>
  <c r="I33" i="3" s="1"/>
  <c r="F14" i="3"/>
  <c r="I13" i="3"/>
  <c r="F13" i="3"/>
  <c r="E154" i="7" l="1"/>
  <c r="F122" i="7"/>
  <c r="I122" i="7"/>
  <c r="I132" i="7" s="1"/>
  <c r="C105" i="7"/>
  <c r="F105" i="3"/>
  <c r="C106" i="3"/>
  <c r="C107" i="3" s="1"/>
  <c r="C110" i="3" s="1"/>
  <c r="C152" i="3"/>
  <c r="C111" i="3"/>
  <c r="M110" i="3"/>
  <c r="E174" i="3"/>
  <c r="D104" i="7"/>
  <c r="D155" i="7" s="1"/>
  <c r="C155" i="7"/>
  <c r="I107" i="7"/>
  <c r="F154" i="7"/>
  <c r="F158" i="7" s="1"/>
  <c r="F167" i="7" s="1"/>
  <c r="F168" i="7" s="1"/>
  <c r="I111" i="7"/>
  <c r="I110" i="7" s="1"/>
  <c r="F175" i="3"/>
  <c r="I133" i="3"/>
  <c r="F176" i="3" s="1"/>
  <c r="I70" i="7"/>
  <c r="I71" i="7" s="1"/>
  <c r="I76" i="7" s="1"/>
  <c r="F71" i="7"/>
  <c r="F76" i="7" s="1"/>
  <c r="F67" i="8"/>
  <c r="F27" i="8"/>
  <c r="F68" i="8" s="1"/>
  <c r="F69" i="8" s="1"/>
  <c r="I32" i="7"/>
  <c r="I33" i="7" s="1"/>
  <c r="I38" i="7" s="1"/>
  <c r="F33" i="7"/>
  <c r="F38" i="7" s="1"/>
  <c r="I34" i="8"/>
  <c r="F35" i="8"/>
  <c r="F40" i="8" s="1"/>
  <c r="F92" i="8" s="1"/>
  <c r="F26" i="7"/>
  <c r="F28" i="7" s="1"/>
  <c r="F64" i="7"/>
  <c r="F66" i="7" s="1"/>
  <c r="I15" i="3"/>
  <c r="I26" i="3" s="1"/>
  <c r="F15" i="3"/>
  <c r="F26" i="3"/>
  <c r="F64" i="3"/>
  <c r="F83" i="3" s="1"/>
  <c r="I86" i="3"/>
  <c r="C56" i="3"/>
  <c r="I52" i="3"/>
  <c r="I53" i="3" s="1"/>
  <c r="I64" i="3" s="1"/>
  <c r="C17" i="3"/>
  <c r="C18" i="3"/>
  <c r="C16" i="3"/>
  <c r="E152" i="3" l="1"/>
  <c r="E154" i="3" s="1"/>
  <c r="E163" i="3" s="1"/>
  <c r="E164" i="3" s="1"/>
  <c r="F129" i="3"/>
  <c r="F132" i="3" s="1"/>
  <c r="F111" i="3"/>
  <c r="F110" i="3" s="1"/>
  <c r="F107" i="3"/>
  <c r="F114" i="3"/>
  <c r="D106" i="3"/>
  <c r="D153" i="3" s="1"/>
  <c r="C153" i="3"/>
  <c r="C154" i="3" s="1"/>
  <c r="C163" i="3" s="1"/>
  <c r="C164" i="3" s="1"/>
  <c r="D107" i="3"/>
  <c r="C112" i="3"/>
  <c r="C156" i="7"/>
  <c r="F105" i="7"/>
  <c r="C106" i="7"/>
  <c r="C107" i="7"/>
  <c r="C110" i="7" s="1"/>
  <c r="C111" i="7"/>
  <c r="F179" i="7"/>
  <c r="I133" i="7"/>
  <c r="F180" i="7" s="1"/>
  <c r="F28" i="8"/>
  <c r="F30" i="8" s="1"/>
  <c r="I86" i="7"/>
  <c r="J94" i="8"/>
  <c r="I35" i="8"/>
  <c r="I40" i="8" s="1"/>
  <c r="I92" i="8" s="1"/>
  <c r="F71" i="8"/>
  <c r="F87" i="8"/>
  <c r="F86" i="7"/>
  <c r="C19" i="3"/>
  <c r="C145" i="3" s="1"/>
  <c r="C167" i="3" s="1"/>
  <c r="C55" i="3"/>
  <c r="D55" i="3" s="1"/>
  <c r="D56" i="3"/>
  <c r="C54" i="3"/>
  <c r="F129" i="7" l="1"/>
  <c r="F132" i="7" s="1"/>
  <c r="E156" i="7"/>
  <c r="E158" i="7" s="1"/>
  <c r="E167" i="7" s="1"/>
  <c r="E168" i="7" s="1"/>
  <c r="F111" i="7"/>
  <c r="F110" i="7" s="1"/>
  <c r="F107" i="7"/>
  <c r="D115" i="3"/>
  <c r="D134" i="3"/>
  <c r="D177" i="3" s="1"/>
  <c r="D112" i="3"/>
  <c r="D110" i="3" s="1"/>
  <c r="D54" i="3"/>
  <c r="D57" i="3" s="1"/>
  <c r="C57" i="3"/>
  <c r="D106" i="7"/>
  <c r="D157" i="7" s="1"/>
  <c r="C157" i="7"/>
  <c r="C158" i="7" s="1"/>
  <c r="C167" i="7" s="1"/>
  <c r="C168" i="7" s="1"/>
  <c r="C112" i="7"/>
  <c r="D107" i="7"/>
  <c r="D164" i="3"/>
  <c r="D154" i="3"/>
  <c r="D163" i="3" s="1"/>
  <c r="E175" i="3"/>
  <c r="F133" i="3"/>
  <c r="E176" i="3" s="1"/>
  <c r="C134" i="7" l="1"/>
  <c r="C115" i="7"/>
  <c r="D112" i="7"/>
  <c r="D110" i="7" s="1"/>
  <c r="E179" i="7"/>
  <c r="F133" i="7"/>
  <c r="E180" i="7" s="1"/>
  <c r="D168" i="7"/>
  <c r="D158" i="7"/>
  <c r="D167" i="7" s="1"/>
</calcChain>
</file>

<file path=xl/comments1.xml><?xml version="1.0" encoding="utf-8"?>
<comments xmlns="http://schemas.openxmlformats.org/spreadsheetml/2006/main">
  <authors>
    <author>Vanessa Hille</author>
  </authors>
  <commentList>
    <comment ref="D19" authorId="0" shapeId="0">
      <text>
        <r>
          <rPr>
            <b/>
            <sz val="9"/>
            <color indexed="81"/>
            <rFont val="Segoe UI"/>
            <family val="2"/>
          </rPr>
          <t>Vanessa Hille:</t>
        </r>
        <r>
          <rPr>
            <sz val="9"/>
            <color indexed="81"/>
            <rFont val="Segoe UI"/>
            <family val="2"/>
          </rPr>
          <t xml:space="preserve">
Ohne Spread</t>
        </r>
      </text>
    </comment>
    <comment ref="D20" authorId="0" shapeId="0">
      <text>
        <r>
          <rPr>
            <b/>
            <sz val="9"/>
            <color indexed="81"/>
            <rFont val="Segoe UI"/>
            <family val="2"/>
          </rPr>
          <t>Vanessa Hille:</t>
        </r>
        <r>
          <rPr>
            <sz val="9"/>
            <color indexed="81"/>
            <rFont val="Segoe UI"/>
            <family val="2"/>
          </rPr>
          <t xml:space="preserve">
mit Spread</t>
        </r>
      </text>
    </comment>
  </commentList>
</comments>
</file>

<file path=xl/sharedStrings.xml><?xml version="1.0" encoding="utf-8"?>
<sst xmlns="http://schemas.openxmlformats.org/spreadsheetml/2006/main" count="1746" uniqueCount="380">
  <si>
    <t>Exposure</t>
  </si>
  <si>
    <t>Bond-BB</t>
  </si>
  <si>
    <t>t=0</t>
  </si>
  <si>
    <t>t=1</t>
  </si>
  <si>
    <t>t=2</t>
  </si>
  <si>
    <t>Eigenemission-AAA</t>
  </si>
  <si>
    <t>Zinsen</t>
  </si>
  <si>
    <t>Swap</t>
  </si>
  <si>
    <t>CS-BB</t>
  </si>
  <si>
    <t>CS-AAA</t>
  </si>
  <si>
    <t>Kurven</t>
  </si>
  <si>
    <t>BB</t>
  </si>
  <si>
    <t>AAA</t>
  </si>
  <si>
    <t>Geschäftsmodell</t>
  </si>
  <si>
    <t>FVPL - HFT</t>
  </si>
  <si>
    <t>AC- Halten</t>
  </si>
  <si>
    <t>AC - Halten</t>
  </si>
  <si>
    <t>ZE</t>
  </si>
  <si>
    <t>ZA</t>
  </si>
  <si>
    <t>ZÜ</t>
  </si>
  <si>
    <t>?</t>
  </si>
  <si>
    <t>MW</t>
  </si>
  <si>
    <t>Sensi bp</t>
  </si>
  <si>
    <t>EE-AAA</t>
  </si>
  <si>
    <t>NII</t>
  </si>
  <si>
    <t>Delta NII</t>
  </si>
  <si>
    <t>Zinsbuch</t>
  </si>
  <si>
    <t>Earnings</t>
  </si>
  <si>
    <t>Delta EVE</t>
  </si>
  <si>
    <t>EarningsRisiko</t>
  </si>
  <si>
    <t>(Prämisse: kein weiterer Shift in Periode 2; nur ad hoc shift in Periode 1</t>
  </si>
  <si>
    <t>'=&gt; beachte: das Beispiel ist so aufgebaut, dass nach zwei Jahre (=Totalperiode) und Durchhalten der Position das kumulierte Earningsergebnis grad wieder das NII ist, weil die BW Effekte im FV Bestand sich kompensieren mit Zeitablauf!!!</t>
  </si>
  <si>
    <t>Instrument</t>
  </si>
  <si>
    <t>Passiva_1</t>
  </si>
  <si>
    <t>Aktiva_2</t>
  </si>
  <si>
    <t>Aktiva_1</t>
  </si>
  <si>
    <t>Rating</t>
  </si>
  <si>
    <t>Nominal</t>
  </si>
  <si>
    <t>Laufzeit</t>
  </si>
  <si>
    <t>Bond_1</t>
  </si>
  <si>
    <t>Bond_2</t>
  </si>
  <si>
    <t>Pfandbrief_1</t>
  </si>
  <si>
    <t>ZBAF-Kurven</t>
  </si>
  <si>
    <t>Kupon-Kurven</t>
  </si>
  <si>
    <t>Marktzinssätze</t>
  </si>
  <si>
    <t>CreditSpread-BB</t>
  </si>
  <si>
    <t>CreditSpread-AAA</t>
  </si>
  <si>
    <t>Kupon</t>
  </si>
  <si>
    <t>Cashflow</t>
  </si>
  <si>
    <t>Swapsatz</t>
  </si>
  <si>
    <t>t=0
ad hoc Shift</t>
  </si>
  <si>
    <t>Kredit-BB</t>
  </si>
  <si>
    <t>Kundeneinlage-AAA</t>
  </si>
  <si>
    <t>Zinsertrag</t>
  </si>
  <si>
    <t>Zinsergebnis</t>
  </si>
  <si>
    <t xml:space="preserve">Bewertung und Ergebnisrechnung im Ausgangszeitpunkt t=0 "Basisszenario" </t>
  </si>
  <si>
    <t>Zinsergebnisrechnung:</t>
  </si>
  <si>
    <t>- konstantes Marktzinsniveau</t>
  </si>
  <si>
    <t>Deterministische Fixierung per Forward Rates</t>
  </si>
  <si>
    <t>ertragswertbasierter Barwert</t>
  </si>
  <si>
    <t>Periode 1</t>
  </si>
  <si>
    <t>Periode 2</t>
  </si>
  <si>
    <t>Marktwert und ZÜ-Flow überleitbar unter retrograder Refinanzierung resp. ForwardRates</t>
  </si>
  <si>
    <t>offene Refinanzierung in Periode 2 per ForwardRate kakulatorisch determinierbar geschlossen</t>
  </si>
  <si>
    <t>Zins-Sensi [EUR/+1bp]</t>
  </si>
  <si>
    <t>- veränderliches Marktzinsniveau Risikoszenario</t>
  </si>
  <si>
    <t>Risikomessung im Szenariofall</t>
  </si>
  <si>
    <t>Delta Barwert</t>
  </si>
  <si>
    <t>Delta-ZinsbuchBarwert</t>
  </si>
  <si>
    <t>Parallelshift der BB CreditSpreads +300 BP</t>
  </si>
  <si>
    <t>Parallelshift der Zinskurve +200 BP</t>
  </si>
  <si>
    <t>NII-Simulation "CBS-Basisszenario"</t>
  </si>
  <si>
    <t>- Constant Balance Sheet (CBS)</t>
  </si>
  <si>
    <t>NII-Simulation "CBS-Risikoszenario"</t>
  </si>
  <si>
    <t>"Flucht" in Sicherheit; die AAA Kurve steigt lediglich moderat +50 BP</t>
  </si>
  <si>
    <t>Bewertung und Ergebnisrechnung im "Risikoszenario"  Ausgangszeitpunkt t=0 nach ad hoc</t>
  </si>
  <si>
    <t>Zinsänderungsrisiko im ertragswertbasierten Barwert sowie in der periodischen Zinsprojektion im Szenario ad hoc "Zinsshift IR UP 200 BP parallel"</t>
  </si>
  <si>
    <t>Aussteuerung des ertragswertbasierten Zinsänderungsrisikos im Ausgangszeitpunkt t=0</t>
  </si>
  <si>
    <t>"Tilgungs"zahlungen</t>
  </si>
  <si>
    <t>Zinsbuch-CF</t>
  </si>
  <si>
    <t>Konditionsbeitragsmargen</t>
  </si>
  <si>
    <t>AktivGeschäft (2xKredit-BB)</t>
  </si>
  <si>
    <t>kontrahierte Zinskupons</t>
  </si>
  <si>
    <t>Konditionsbeitragsmargen (9% ./. 4%)</t>
  </si>
  <si>
    <t>Zins"kosten" (4%)</t>
  </si>
  <si>
    <t>Konditionsbeitragsmargen (2% ./. 2,25%)</t>
  </si>
  <si>
    <t>Zins"kosten" (2%)</t>
  </si>
  <si>
    <t>Konditionsmargen</t>
  </si>
  <si>
    <t>Kapitalmarkt-Zins"kosten"</t>
  </si>
  <si>
    <t>Zinsbuch - ex KB Margen</t>
  </si>
  <si>
    <t>synthet. Konditionsbeitrags-Zinsmargenbuch</t>
  </si>
  <si>
    <t>Zinsüberschuss-Konditionsbeiträge</t>
  </si>
  <si>
    <t>Zinsüberschuss-Strukturbeiträge</t>
  </si>
  <si>
    <t>„Determinierbare“ 
Zinsergebnisprojektion</t>
  </si>
  <si>
    <t>CBS“ Zinsergebnisprojektion</t>
  </si>
  <si>
    <t>"CBS“ Zinsergebnisprojektion</t>
  </si>
  <si>
    <t>NII-Simulation "Deterministische Fixierung per Forward Rates"</t>
  </si>
  <si>
    <t>kontrahierte Zinskupons ex Konditiosnbeitrags-Marge</t>
  </si>
  <si>
    <t>Marktwert</t>
  </si>
  <si>
    <t>Zinsbuch - Marktwert</t>
  </si>
  <si>
    <t>konzeptionell nicht vorgesehen; der MargenFlow ist Teil der Kursnotierungen resp. der Marktwerte</t>
  </si>
  <si>
    <t>konzeptionell nicht vorgesehen; der MargenFlow ist Teil des Zinsbuchbarwerts</t>
  </si>
  <si>
    <t xml:space="preserve"> </t>
  </si>
  <si>
    <t>[EUR/+1bp]</t>
  </si>
  <si>
    <t>Sensitivität [EUR/+1bp]</t>
  </si>
  <si>
    <t>Spread Sensi AAA</t>
  </si>
  <si>
    <t>Spread Sensi     BB</t>
  </si>
  <si>
    <t xml:space="preserve">           Zins Sensi    </t>
  </si>
  <si>
    <t>Delta-BW Zins</t>
  </si>
  <si>
    <t>Delta BW Spread BB</t>
  </si>
  <si>
    <t>Delta BW Spread AAA</t>
  </si>
  <si>
    <t>InterRisk-Effekte</t>
  </si>
  <si>
    <t>Zinsänderungsrisiko im marktwertbasierten Barwert sowie in der periodischen Zinsprojektion im Szenario ad hoc "Zinsshift IR UP 200 BP parallel"</t>
  </si>
  <si>
    <t>davon:</t>
  </si>
  <si>
    <t>Veränderung CreditSpreads AAA-Niveau</t>
  </si>
  <si>
    <t>Veränderung Zinsniveau</t>
  </si>
  <si>
    <t>Zinsaufwand</t>
  </si>
  <si>
    <t>Steuerung-LiquiSpread</t>
  </si>
  <si>
    <t>Steuerung-Zins</t>
  </si>
  <si>
    <t>Zinskostenanteil: Schließung offene Zinsposition in Periode 2 per ForwardRate kakulatorisch determinierbar geschlossen</t>
  </si>
  <si>
    <t>Liquiditätskostenanteil: Schließung offene Zinsposition in Periode 2 per ForwardRate kakulatorisch determinierbar geschlossen</t>
  </si>
  <si>
    <t>- konstantes Spreadmargenniveau</t>
  </si>
  <si>
    <t>Zinsüberschuss-Strukturbeiträge Zins</t>
  </si>
  <si>
    <t>Zinsüberschuss-Strukturbeiträge Liquiditätsspread</t>
  </si>
  <si>
    <t>„Determinierbare“ 
Zinsergebnisprojektion (inkl. LiquiSpread)</t>
  </si>
  <si>
    <t>- veränderliches Spreadzinsniveau Risikoszenario</t>
  </si>
  <si>
    <t>Marktwert (SpreadPricing)</t>
  </si>
  <si>
    <t>Ertragswert (SwapPricing)</t>
  </si>
  <si>
    <t>Delta IR</t>
  </si>
  <si>
    <t>Delta SPR</t>
  </si>
  <si>
    <t>Ertragswert</t>
  </si>
  <si>
    <t>Ertragswert ex Margin</t>
  </si>
  <si>
    <t>DeltaErtragswert</t>
  </si>
  <si>
    <t>Delta Ertragswert ex Margin</t>
  </si>
  <si>
    <t>Delta Marktwert</t>
  </si>
  <si>
    <t>Barwert</t>
  </si>
  <si>
    <t>CashFlow</t>
  </si>
  <si>
    <t>DeltaErtragswert_SwapHedged</t>
  </si>
  <si>
    <t>DeltaMarktwert_SwapHedged</t>
  </si>
  <si>
    <t>Swapportfolio_Marktwertkalkül</t>
  </si>
  <si>
    <t>Swapportfolio_Ertragswert</t>
  </si>
  <si>
    <t>DeltaMarktwert_SwapErtragswert_Hedged</t>
  </si>
  <si>
    <t>DeltaErtragswert_SwapErtragswertHedged</t>
  </si>
  <si>
    <t>DeltaErtragswert_SwapMarktwertHedged</t>
  </si>
  <si>
    <t>DeltaMarktwert_SwapMarktwert_Hedged</t>
  </si>
  <si>
    <t>ZBAF-Zins 0,1</t>
  </si>
  <si>
    <t>ZBAF-Zins 0,2</t>
  </si>
  <si>
    <t>ZBAF-IR_SPR 0,1</t>
  </si>
  <si>
    <t>ZBAF-IR_SPR 0,2</t>
  </si>
  <si>
    <t>Swapportfolio_Marktwertkalkül_SPR_500BP</t>
  </si>
  <si>
    <t>Swapportfolio_Marktwertkalkül_SPR_0BP</t>
  </si>
  <si>
    <t>Swapportfolio_Marktwertkalkül_SPR_100BP</t>
  </si>
  <si>
    <t>Swapportfolio_Marktwertkalkül_SPR_200BP</t>
  </si>
  <si>
    <t>Swapportfolio_Marktwertkalkül_SPR_300BP</t>
  </si>
  <si>
    <t>Swapportfolio_Marktwertkalkül_SPR_400BP</t>
  </si>
  <si>
    <t>Swapportfolio_Marktwertkalkül_SPR_600BP</t>
  </si>
  <si>
    <t>Swapportfolio_Marktwertkalkül_SPR_700BP</t>
  </si>
  <si>
    <t>Swapportfolio_Marktwertkalkül_SPR_800BP</t>
  </si>
  <si>
    <t>Swapportfolio_Marktwertkalkül_SPR_900BP</t>
  </si>
  <si>
    <t>Swapportfolio_Marktwertkalkül_SPR_1000BP</t>
  </si>
  <si>
    <t>Bondrendite 2Y</t>
  </si>
  <si>
    <t>Swap-Nominal</t>
  </si>
  <si>
    <t>Swap-Flow t=1</t>
  </si>
  <si>
    <t>Swap-Flow t=2</t>
  </si>
  <si>
    <t>Swap-Hedgeportfolio</t>
  </si>
  <si>
    <t>HedgeName</t>
  </si>
  <si>
    <t>CreditSpread BB</t>
  </si>
  <si>
    <t xml:space="preserve">Delta-Spread BB </t>
  </si>
  <si>
    <t>DeltaErtragswert_SwapMarktwert_Hedged</t>
  </si>
  <si>
    <t>DeltaErtragswert_SwapErtragswert_Hedged</t>
  </si>
  <si>
    <t>Swapportfolio_Marktwert</t>
  </si>
  <si>
    <t>Parallelshift</t>
  </si>
  <si>
    <t>Laufzeitband</t>
  </si>
  <si>
    <t>[EUR/+1BP]</t>
  </si>
  <si>
    <t>marktwertbasierte Zins-Sensitivität</t>
  </si>
  <si>
    <t>marktwertbasierte Spread-Sensitivität</t>
  </si>
  <si>
    <t>1Y</t>
  </si>
  <si>
    <t>2Y</t>
  </si>
  <si>
    <t>Aussteuerung des marktwertbasierten Zinsänderungsrisikos im Ausgangszeitpunkt t=0</t>
  </si>
  <si>
    <t>Bewertung und Ergebnisrechnung im "Risikoszenario"  Ausgangszeitpunkt t=0 nach ad hoc Shift</t>
  </si>
  <si>
    <t>Zinsrisiko-Steuerungsportfolio (an der Marktwert-Zinssensitivität adjustiertes Swap-Portfolio)</t>
  </si>
  <si>
    <t>Barwert-Zinsrisikoimmunisierung</t>
  </si>
  <si>
    <t>Zins PnL</t>
  </si>
  <si>
    <t>Hedged-Zins PnL</t>
  </si>
  <si>
    <t>Zinssicherung Swap_1</t>
  </si>
  <si>
    <t>Marktwert Grundposition</t>
  </si>
  <si>
    <t>Marktwert SwapPortfolio</t>
  </si>
  <si>
    <t>Delta Ertragswert</t>
  </si>
  <si>
    <t>+1BP - LZ 1</t>
  </si>
  <si>
    <t>+1BP</t>
  </si>
  <si>
    <t>+1BP - LZ 2</t>
  </si>
  <si>
    <t>Ertragswert mit Credit Spread</t>
  </si>
  <si>
    <t>Ertragswert ohne Credit Spread</t>
  </si>
  <si>
    <t>ertragswertbasierte Zins-Sensitivität ohne Credit Spread</t>
  </si>
  <si>
    <t>ertragswertbasierte Zins-Sensitivität mit Credit Spread</t>
  </si>
  <si>
    <t>Inhaltsverzeichnis</t>
  </si>
  <si>
    <t>Überblick</t>
  </si>
  <si>
    <t>Kalküle der Zinsbuchsteuerung</t>
  </si>
  <si>
    <t>Wahl eines zielkonformen Steuerungskalküls</t>
  </si>
  <si>
    <t>Aufbau des Beispiels</t>
  </si>
  <si>
    <t>Die Ökonomie im ertragswertbasierten Zinsbuchkalkül</t>
  </si>
  <si>
    <t>Aufbau des ertragswertbasierten Zinsbuchkalküls</t>
  </si>
  <si>
    <t>Zinsbuch-Analyse im Basisszenario</t>
  </si>
  <si>
    <t>Risikoanalyse im ertragswertbasierten Zinsbuchkalkül</t>
  </si>
  <si>
    <t>Steuerungsimpulse im Ertragswertkalkül</t>
  </si>
  <si>
    <t>Infobox: Charakteristika des ertragswertbasierten Zinsbuch-Kalküls</t>
  </si>
  <si>
    <t>Die Ökonomie im ertragswertbasierten Zinsbuchkalkül ohnne Margen</t>
  </si>
  <si>
    <t>Detailanalyse der Zinsergebnissteuerung im ‚klassischen‘ ertragswertbasierten Zinsbuchkalkül</t>
  </si>
  <si>
    <t>Aufbau des ertragswertbasierten Zinsbuchkalküls ohne Marge</t>
  </si>
  <si>
    <t>Risikoanalyse im ertragswertbasierten Zinsbuchkalkül ohne Konditionsbeiträge</t>
  </si>
  <si>
    <t>Steuerungsimpulse im Ertragswertkalkül ohne Konditionsbeiträge</t>
  </si>
  <si>
    <t>Infobox: Charakteristika des ertragswertbasierten Zinsbuchkalküls ohne Konditionsbeiträge</t>
  </si>
  <si>
    <t>Die Ökonomie im marktwertbasierten Zinsbuchkalkül</t>
  </si>
  <si>
    <t>Aufbau des marktwertbasierten Zinsbuchkalküls</t>
  </si>
  <si>
    <t>Risikoanalyse im marktwertbasierten Zinsbuchkalkül</t>
  </si>
  <si>
    <t>Exkurs und Vertiefung: Dynamiken in der marktwertbasierten Zinsrisiko-Sensitivität und deren Steuerung</t>
  </si>
  <si>
    <t>Steuerungsimpulse im Marktwertkalkül</t>
  </si>
  <si>
    <t>Infobox: Charakteristika des marktwertbasierten Zinsbuchkalküls</t>
  </si>
  <si>
    <t>Zusammenfassende Darstellung der zentralen Eigenschaften und Unterschiede der Zinsbuchkalküle</t>
  </si>
  <si>
    <t>Ausgangsituation</t>
  </si>
  <si>
    <t>Ertragswertbasiertes Zinsbuchkalkül</t>
  </si>
  <si>
    <t>Ertragswertbasiertes Zinsbuchkalkül ohne Konditionsbeiträge</t>
  </si>
  <si>
    <t>Marktwertbasiertes Zinsbuchkalkül</t>
  </si>
  <si>
    <t>Vereinigung der ökonomischen Zinsbuchrechnung mit der bilanziellen Ertragsperspektive</t>
  </si>
  <si>
    <t>Aufbau der bilanziellen Ertragsperspektive (Earnings Perspective) nach den IFRS</t>
  </si>
  <si>
    <t>Risikodefinition und Herausforderungen im bilanziellen Ertragsperspektive (Earnings Perspective)</t>
  </si>
  <si>
    <t>Abbildung des Beispiel-Zinsbuchs in der Ertragsperspektive (Earnings Perspective)</t>
  </si>
  <si>
    <t>Abbildung des Beispiel-Zinsbuchs in der Ertragsperspektive für das IRRBB (Earings Perspective)</t>
  </si>
  <si>
    <t>6.1</t>
  </si>
  <si>
    <t>6.2</t>
  </si>
  <si>
    <t>6.3</t>
  </si>
  <si>
    <t>6.4</t>
  </si>
  <si>
    <t>6.5</t>
  </si>
  <si>
    <t>6.6</t>
  </si>
  <si>
    <t>Bond/ Kredit_1</t>
  </si>
  <si>
    <t>Bond/ Kredit_2</t>
  </si>
  <si>
    <t>Pfandbrief/ Einlage</t>
  </si>
  <si>
    <t>Credit Spreads</t>
  </si>
  <si>
    <t>Kuponzinssätze</t>
  </si>
  <si>
    <t>ZBAF</t>
  </si>
  <si>
    <t xml:space="preserve">Die Ökonomie im marktwertbasierten Zinsbuchkalkül </t>
  </si>
  <si>
    <t>Ertragswert (ohne Marge)</t>
  </si>
  <si>
    <t>Ertragswert ohne Marge</t>
  </si>
  <si>
    <t>Delta Ertragswert ohne Marge</t>
  </si>
  <si>
    <r>
      <rPr>
        <b/>
        <sz val="7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Die Ökonomie im ertragswertbasierten Zinsbuchkalkül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</si>
  <si>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Die Ökonomie im ertragswertbasierten Zinsbuchkalkül ohnne Margen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</si>
  <si>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Exkurs und Vertiefung: Dynamiken in der marktwertbasierten Zinsrisiko-Sensitivität und deren Steuerung </t>
    </r>
  </si>
  <si>
    <t>Berechnung des Swap Volumens</t>
  </si>
  <si>
    <t>Berechnung Zinssensitivitäten</t>
  </si>
  <si>
    <t>CF</t>
  </si>
  <si>
    <t>MW Swap +1 BP</t>
  </si>
  <si>
    <t>Sensi Swap</t>
  </si>
  <si>
    <t>Ausgangslage</t>
  </si>
  <si>
    <t>Sensi-MW</t>
  </si>
  <si>
    <t>+BP1</t>
  </si>
  <si>
    <t>Swap CF</t>
  </si>
  <si>
    <t>Idee: Wie hoch muss das Nominalvolumen des Sicherungsgeschäfts sein, um die Sensitivität des Grundgeschäfts auszugleichen?</t>
  </si>
  <si>
    <t>Berechnung mittels Zielwertsuche oder Excel Sover</t>
  </si>
  <si>
    <t>Senistivität Grundgeschäft = (-) Sensitivität Sicherungsgeschäft</t>
  </si>
  <si>
    <t>-</t>
  </si>
  <si>
    <t>Bond-BB 2Y RLZ</t>
  </si>
  <si>
    <t>FairValue</t>
  </si>
  <si>
    <t>TotalPeriode</t>
  </si>
  <si>
    <t>Bewertungsergebnis</t>
  </si>
  <si>
    <t>Marktpreisänderung</t>
  </si>
  <si>
    <t>RLZ-Verkürzung</t>
  </si>
  <si>
    <t>Delta-Bewertungsergebnis</t>
  </si>
  <si>
    <t>Delta-NII</t>
  </si>
  <si>
    <t>Earnings-Risiko</t>
  </si>
  <si>
    <t>Bond-BB 1 Y RLZ</t>
  </si>
  <si>
    <t>Beispiel 1:</t>
  </si>
  <si>
    <t>Beispiel 2:</t>
  </si>
  <si>
    <t>Risikodefinition und Herausforderungen in der bilanziellen Ertragsperspektive (‚Earnings-Perspective‘)</t>
  </si>
  <si>
    <r>
      <rPr>
        <b/>
        <sz val="12"/>
        <color theme="1"/>
        <rFont val="Times New Roman"/>
        <family val="1"/>
      </rPr>
      <t>Basisszenario:</t>
    </r>
    <r>
      <rPr>
        <sz val="12"/>
        <color theme="1"/>
        <rFont val="Times New Roman"/>
        <family val="1"/>
      </rPr>
      <t xml:space="preserve"> konstante Marktpreisfaktoren über die Gesamtlaufzeit</t>
    </r>
  </si>
  <si>
    <r>
      <rPr>
        <b/>
        <sz val="12"/>
        <color theme="1"/>
        <rFont val="Times New Roman"/>
        <family val="1"/>
      </rPr>
      <t>Stressszenario:</t>
    </r>
    <r>
      <rPr>
        <sz val="12"/>
        <color theme="1"/>
        <rFont val="Times New Roman"/>
        <family val="1"/>
      </rPr>
      <t xml:space="preserve"> ad hoc (t=0 plus eine Sekunde) UpShift der Marktpreisfaktoren</t>
    </r>
  </si>
  <si>
    <r>
      <rPr>
        <b/>
        <sz val="12"/>
        <color theme="1"/>
        <rFont val="Times New Roman"/>
        <family val="1"/>
      </rPr>
      <t>Basisszenario:</t>
    </r>
    <r>
      <rPr>
        <sz val="12"/>
        <color theme="1"/>
        <rFont val="Times New Roman"/>
        <family val="1"/>
      </rPr>
      <t xml:space="preserve"> konstante Marktpreisfaktoren über die Gesamtlaufzeit; Constant Balance Sheet-Annahme (getilgtes oder ausgelaufenes Geschäftsvolumen wird zu identischen Strukturmerkmalen zu aktuellen Konditionen neu kontrahiert)</t>
    </r>
  </si>
  <si>
    <r>
      <rPr>
        <b/>
        <sz val="12"/>
        <color theme="1"/>
        <rFont val="Times New Roman"/>
        <family val="1"/>
      </rPr>
      <t>Stressszenario:</t>
    </r>
    <r>
      <rPr>
        <sz val="12"/>
        <color theme="1"/>
        <rFont val="Times New Roman"/>
        <family val="1"/>
      </rPr>
      <t xml:space="preserve"> ad hoc (t=0 plus eine Sekunde) UpShift der Marktpreisfaktoren; Constant Balance Sheet-Annahme (getilgtes oder ausgelaufenes Geschäftsvolumen wird zu identischen Strukturmerkmalen zu aktuellen Konditionen neu kontrahiert)</t>
    </r>
  </si>
  <si>
    <t>Basisszenario Earnings Simulation</t>
  </si>
  <si>
    <t>Prolongation strukturidentisch unter der ConstantBalancesheet Annahme</t>
  </si>
  <si>
    <t>Constant Balance Sheet Prämisse: für die Earnings Simulation der Periode 2 wird ausgelaufenes Geschäft strukturidentisch zu gültigen Konditionen neu abgeschlossen</t>
  </si>
  <si>
    <t>Stressszenario Earnings Simulation</t>
  </si>
  <si>
    <t>no shift</t>
  </si>
  <si>
    <t>MPR Shift</t>
  </si>
  <si>
    <t>EVE-MPR Shift</t>
  </si>
  <si>
    <t>EVE- RLZ Verkürzung</t>
  </si>
  <si>
    <t>Delta EVE-MPR Shift</t>
  </si>
  <si>
    <t>Delta EVE- RLZ Verkürzung</t>
  </si>
  <si>
    <t xml:space="preserve">Detaillierte Darstellung der Delta EVE Berechnung </t>
  </si>
  <si>
    <t>EVE Effekte</t>
  </si>
  <si>
    <t>Ausgangs-NPV</t>
  </si>
  <si>
    <t>Basisszenario</t>
  </si>
  <si>
    <t>Stresszenario</t>
  </si>
  <si>
    <t>TOTALSHIFT</t>
  </si>
  <si>
    <t>Nur IRR-Shift</t>
  </si>
  <si>
    <t>Nur CreditSpread-Shifts</t>
  </si>
  <si>
    <t>Detaillierte Aufschlüsselung der Earnings Risk nach Risikoarten</t>
  </si>
  <si>
    <t>EarningsRisk</t>
  </si>
  <si>
    <t>Zinsrisiko (IRR)</t>
  </si>
  <si>
    <t>CreditSpreadRisiko (CSR)</t>
  </si>
  <si>
    <t>davon:                                 BB-Curve</t>
  </si>
  <si>
    <t>davon:                              AAA-Curve
(OwnFundingSpread)</t>
  </si>
  <si>
    <t>Diversifikationseffekt</t>
  </si>
  <si>
    <t>alle</t>
  </si>
  <si>
    <t>all. Zinsänderungsrisiko (IRR)</t>
  </si>
  <si>
    <t>CreditSpread (CSR)</t>
  </si>
  <si>
    <t xml:space="preserve"> InfoBox Details: Delta EVE Periode 1</t>
  </si>
  <si>
    <t xml:space="preserve">t=0 </t>
  </si>
  <si>
    <t>konstante Marktpreise</t>
  </si>
  <si>
    <t>= 109.000 EUR * 0,952381 Diskontfaktor:  ZBAF-BB(Delta-IR: 0; Delta-CS: 0)</t>
  </si>
  <si>
    <t>∆EVE</t>
  </si>
  <si>
    <t>Marktpreisshift</t>
  </si>
  <si>
    <t>= 109.000 EUR * 0,909090 Diskontfaktor:  ZBAF-BB(Delta-IR: +2% Pkt; Delta-CS: +3% Pkt)</t>
  </si>
  <si>
    <t>weitere Ausdifferenzierung der Delta EVE Effekte</t>
  </si>
  <si>
    <t>EVE Risk</t>
  </si>
  <si>
    <t>= 109.000 EUR * 0,934579 Diskontfaktor:  ZBAF-BB(Delta-IR: +2% Pkt; Delta-CS: +0% Pkt)</t>
  </si>
  <si>
    <t>nur IRR</t>
  </si>
  <si>
    <t>= 109.000 EUR * 0,925926 Diskontfaktor:  ZBAF-BB(Delta-IR: +0% Pkt; Delta-CS: +3% Pkt)</t>
  </si>
  <si>
    <t>Delta EVE-RLZ Verkürzung</t>
  </si>
  <si>
    <t>nur SPR</t>
  </si>
  <si>
    <t>TOTALSHIFT- nur IRR</t>
  </si>
  <si>
    <t>= 109.000 EUR * 0,980292 Diskontfaktor:  ZBAF-Swap (Delta-IR: 0)</t>
  </si>
  <si>
    <t>IRRBB-Marktpreisshift</t>
  </si>
  <si>
    <t>= 109.000 EUR * 0,961538 Diskontfaktor:  ZBAF-Swap(Delta-IR: +2% Pkt)</t>
  </si>
  <si>
    <t>IRRBB EVE Risk</t>
  </si>
  <si>
    <t>--</t>
  </si>
  <si>
    <t>= --</t>
  </si>
  <si>
    <t xml:space="preserve">davon: 
</t>
  </si>
  <si>
    <t>AAA-Curve
(OwnFundingSpread)</t>
  </si>
  <si>
    <t xml:space="preserve">davon: </t>
  </si>
  <si>
    <t>BB-Curve</t>
  </si>
  <si>
    <r>
      <rPr>
        <b/>
        <sz val="11"/>
        <color theme="1"/>
        <rFont val="Times New Roman"/>
        <family val="1"/>
      </rPr>
      <t>Basisszenario</t>
    </r>
    <r>
      <rPr>
        <sz val="11"/>
        <color theme="1"/>
        <rFont val="Times New Roman"/>
        <family val="1"/>
      </rPr>
      <t xml:space="preserve"> Earnings Simulation</t>
    </r>
  </si>
  <si>
    <r>
      <rPr>
        <b/>
        <sz val="11"/>
        <color theme="1"/>
        <rFont val="Times New Roman"/>
        <family val="1"/>
      </rPr>
      <t>Stressszenario</t>
    </r>
    <r>
      <rPr>
        <sz val="11"/>
        <color theme="1"/>
        <rFont val="Times New Roman"/>
        <family val="1"/>
      </rPr>
      <t xml:space="preserve"> Earnings Simulation</t>
    </r>
  </si>
  <si>
    <t>Berechnung des Hedge Volumens Swap_1 mittels Zielwertsuche:</t>
  </si>
  <si>
    <t>Swap_1_Festzinszahler</t>
  </si>
  <si>
    <t>Swap_1_Floater-Zinsempfänger</t>
  </si>
  <si>
    <t>Swap_2_Festzinsempfänger</t>
  </si>
  <si>
    <t>Swap_2_Floater-Zinszahler</t>
  </si>
  <si>
    <t>"Zinsrisikofreies" Zinsbuch-CF</t>
  </si>
  <si>
    <t>Cash or Floating</t>
  </si>
  <si>
    <t>"Zinsrisikofreies" Zinsbuch - Zinsbindungsbilanz</t>
  </si>
  <si>
    <t>FixedRate     - Nominal</t>
  </si>
  <si>
    <t>FloatingRate-Nominal</t>
  </si>
  <si>
    <t>Zinsergebnisprojektion_fixed</t>
  </si>
  <si>
    <t>Zinsergebnisprojektion_float</t>
  </si>
  <si>
    <t>Zinssicherungs Swap_2</t>
  </si>
  <si>
    <t>Grund- und Kundengeschäft</t>
  </si>
  <si>
    <t>t=3M</t>
  </si>
  <si>
    <t>t=1Y</t>
  </si>
  <si>
    <t>t=2Y</t>
  </si>
  <si>
    <t>Aktiva</t>
  </si>
  <si>
    <t>Passiva</t>
  </si>
  <si>
    <t>Barwertkalkül</t>
  </si>
  <si>
    <t>marktwertbasierter Barwertsicht</t>
  </si>
  <si>
    <t>Zins-Senitivität EUR/+1BP</t>
  </si>
  <si>
    <t>Steuerungsportfolio</t>
  </si>
  <si>
    <t xml:space="preserve">Zinsbuch-CF </t>
  </si>
  <si>
    <t>ertragswertbasierter Barwertsicht</t>
  </si>
  <si>
    <t xml:space="preserve"> ~ 0,00</t>
  </si>
  <si>
    <t>Zinsbindungsbilanz</t>
  </si>
  <si>
    <t>Net Interest Income - periodische Zinsergebnisprojektion</t>
  </si>
  <si>
    <t>…</t>
  </si>
  <si>
    <t>FixedRate- Nominal</t>
  </si>
  <si>
    <t>Zinsrisiko-Steuerungsportfolio (am ertragswertbasierten Zahlungsstrom es Margin adjustiertes Swap-Portfolio)</t>
  </si>
  <si>
    <t>Geschäftsmargenbuch</t>
  </si>
  <si>
    <t>Margen-CF</t>
  </si>
  <si>
    <t>Zinsbuch ex Margen</t>
  </si>
  <si>
    <t>Zinsbindungsbilanz ex Margen</t>
  </si>
  <si>
    <t>Zinsrisiko-Steuerungsportfolio (am ertragswertbasierten Zahlungsstrom adjustiertes Swap-Portfolio)</t>
  </si>
  <si>
    <t>Abbildung des Beispiel-Zinsbuchs in der bilanziellen Ertragsperspektive (Earnings-Perspective) für das IRRBB</t>
  </si>
  <si>
    <t>Abbildung des Beispiel-Zinsbuchs in der bilanziellen Ertragsperspektive (Earnings-Perspective) </t>
  </si>
  <si>
    <t>Marktwert des Bonds</t>
  </si>
  <si>
    <t>Bond  Zins-Sensitivität EUR/+1BP
[kumuliert]</t>
  </si>
  <si>
    <t>Swap Zins-Sensitivität EUR/+1BP
[kumuliert]</t>
  </si>
  <si>
    <r>
      <t xml:space="preserve">Diese Exceldatei dient ausschließlich dem verbesserten und vertiefenden Verständnis der im Buch </t>
    </r>
    <r>
      <rPr>
        <i/>
        <sz val="12"/>
        <color theme="1"/>
        <rFont val="Times New Roman"/>
        <family val="1"/>
      </rPr>
      <t/>
    </r>
  </si>
  <si>
    <t xml:space="preserve">„Integrierte Banksteuerung - Internes Controlling, externe Bilanzierung und aufsichtsrechtliche Limitierung des Zinsänderungsrisikos“ dargestellten </t>
  </si>
  <si>
    <t>Sachverhalte. Die Inhalte sind vereinfacht abgebildet und dienen dem inhaltlichen Verständnis verschiedener Berechnungen.</t>
  </si>
  <si>
    <r>
      <t xml:space="preserve">Die Inhalte dienen ausdrücklich </t>
    </r>
    <r>
      <rPr>
        <u/>
        <sz val="12"/>
        <color theme="1"/>
        <rFont val="Times New Roman"/>
        <family val="1"/>
      </rPr>
      <t xml:space="preserve">nicht der praktischen Anwendung </t>
    </r>
    <r>
      <rPr>
        <sz val="12"/>
        <color theme="1"/>
        <rFont val="Times New Roman"/>
        <family val="1"/>
      </rPr>
      <t xml:space="preserve">in Banken und sollten keinesfalls dazu verwendet werden. </t>
    </r>
  </si>
  <si>
    <t xml:space="preserve">Die Autoren übernehmen keine Verantwortung für Fehler oder Auslassungen in diesem Dokument und sind nicht verantwortlich für Schäden, </t>
  </si>
  <si>
    <t>die aus der Verwendung dieser Datei entstehen.</t>
  </si>
  <si>
    <t>Disclaimer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</si>
</sst>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  <numFmt numFmtId="166" formatCode="#,##0_ ;\-#,##0\ "/>
    <numFmt numFmtId="167" formatCode="0.0%"/>
    <numFmt numFmtId="168" formatCode="0.000%"/>
    <numFmt numFmtId="169" formatCode="#,##0.00\ &quot;€&quot;"/>
    <numFmt numFmtId="170" formatCode="0.000000"/>
    <numFmt numFmtId="171" formatCode="#,##0.000000\ &quot;€&quot;"/>
    <numFmt numFmtId="172" formatCode="0.00000000"/>
    <numFmt numFmtId="173" formatCode="_-* #,##0.0000000000\ &quot;€&quot;_-;\-* #,##0.0000000000\ &quot;€&quot;_-;_-* &quot;-&quot;??\ &quot;€&quot;_-;_-@_-"/>
    <numFmt numFmtId="174" formatCode="#,##0.000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 tint="-0.34998626667073579"/>
      <name val="Times New Roman"/>
      <family val="1"/>
    </font>
    <font>
      <sz val="9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0" tint="-0.34998626667073579"/>
      <name val="Times New Roman"/>
      <family val="1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Times New Roman"/>
      <family val="1"/>
    </font>
    <font>
      <u/>
      <sz val="11"/>
      <color theme="1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3">
    <xf numFmtId="0" fontId="0" fillId="0" borderId="0" xfId="0"/>
    <xf numFmtId="0" fontId="0" fillId="3" borderId="0" xfId="0" applyFill="1"/>
    <xf numFmtId="0" fontId="0" fillId="0" borderId="0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5" borderId="0" xfId="0" applyFill="1"/>
    <xf numFmtId="0" fontId="3" fillId="6" borderId="0" xfId="0" applyFont="1" applyFill="1"/>
    <xf numFmtId="0" fontId="4" fillId="0" borderId="0" xfId="0" applyFont="1" applyAlignment="1">
      <alignment horizontal="right"/>
    </xf>
    <xf numFmtId="3" fontId="0" fillId="0" borderId="0" xfId="0" applyNumberFormat="1"/>
    <xf numFmtId="0" fontId="0" fillId="12" borderId="0" xfId="0" applyFill="1"/>
    <xf numFmtId="1" fontId="0" fillId="0" borderId="0" xfId="0" applyNumberFormat="1"/>
    <xf numFmtId="10" fontId="4" fillId="0" borderId="26" xfId="0" applyNumberFormat="1" applyFont="1" applyBorder="1" applyAlignment="1">
      <alignment horizontal="right" vertical="center" wrapText="1"/>
    </xf>
    <xf numFmtId="10" fontId="4" fillId="0" borderId="27" xfId="0" applyNumberFormat="1" applyFont="1" applyBorder="1" applyAlignment="1">
      <alignment horizontal="right" vertical="center" wrapText="1"/>
    </xf>
    <xf numFmtId="10" fontId="4" fillId="0" borderId="28" xfId="0" applyNumberFormat="1" applyFont="1" applyBorder="1" applyAlignment="1">
      <alignment horizontal="right" vertical="center" wrapText="1"/>
    </xf>
    <xf numFmtId="10" fontId="4" fillId="0" borderId="8" xfId="0" applyNumberFormat="1" applyFont="1" applyBorder="1" applyAlignment="1">
      <alignment horizontal="right" vertical="center" wrapText="1"/>
    </xf>
    <xf numFmtId="10" fontId="4" fillId="0" borderId="29" xfId="0" applyNumberFormat="1" applyFont="1" applyBorder="1" applyAlignment="1">
      <alignment horizontal="right" vertical="center" wrapText="1"/>
    </xf>
    <xf numFmtId="10" fontId="4" fillId="0" borderId="30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2" fontId="5" fillId="0" borderId="0" xfId="0" applyNumberFormat="1" applyFont="1"/>
    <xf numFmtId="49" fontId="5" fillId="0" borderId="0" xfId="0" applyNumberFormat="1" applyFont="1"/>
    <xf numFmtId="0" fontId="4" fillId="0" borderId="33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right" vertical="center" wrapText="1"/>
    </xf>
    <xf numFmtId="172" fontId="4" fillId="0" borderId="30" xfId="0" applyNumberFormat="1" applyFont="1" applyBorder="1" applyAlignment="1">
      <alignment horizontal="right" vertical="center" wrapText="1"/>
    </xf>
    <xf numFmtId="0" fontId="8" fillId="6" borderId="0" xfId="0" applyFont="1" applyFill="1"/>
    <xf numFmtId="0" fontId="9" fillId="10" borderId="0" xfId="0" applyFont="1" applyFill="1"/>
    <xf numFmtId="0" fontId="5" fillId="10" borderId="0" xfId="0" applyFont="1" applyFill="1"/>
    <xf numFmtId="4" fontId="5" fillId="0" borderId="13" xfId="0" applyNumberFormat="1" applyFont="1" applyBorder="1"/>
    <xf numFmtId="4" fontId="5" fillId="0" borderId="14" xfId="0" applyNumberFormat="1" applyFont="1" applyBorder="1"/>
    <xf numFmtId="4" fontId="5" fillId="0" borderId="15" xfId="0" applyNumberFormat="1" applyFont="1" applyBorder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10" fontId="5" fillId="0" borderId="0" xfId="2" applyNumberFormat="1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4" xfId="0" applyFont="1" applyBorder="1"/>
    <xf numFmtId="0" fontId="5" fillId="10" borderId="0" xfId="0" applyFont="1" applyFill="1" applyBorder="1"/>
    <xf numFmtId="0" fontId="5" fillId="2" borderId="0" xfId="0" applyFont="1" applyFill="1"/>
    <xf numFmtId="0" fontId="5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4" fontId="5" fillId="4" borderId="0" xfId="0" applyNumberFormat="1" applyFont="1" applyFill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4" fontId="5" fillId="2" borderId="9" xfId="0" applyNumberFormat="1" applyFont="1" applyFill="1" applyBorder="1"/>
    <xf numFmtId="0" fontId="5" fillId="4" borderId="0" xfId="0" applyFont="1" applyFill="1" applyAlignment="1">
      <alignment horizontal="right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4" fontId="5" fillId="8" borderId="0" xfId="0" applyNumberFormat="1" applyFont="1" applyFill="1"/>
    <xf numFmtId="165" fontId="5" fillId="0" borderId="0" xfId="1" applyNumberFormat="1" applyFont="1"/>
    <xf numFmtId="0" fontId="5" fillId="0" borderId="0" xfId="0" applyFont="1" applyFill="1"/>
    <xf numFmtId="165" fontId="5" fillId="0" borderId="9" xfId="1" applyNumberFormat="1" applyFont="1" applyBorder="1"/>
    <xf numFmtId="165" fontId="5" fillId="4" borderId="0" xfId="1" applyNumberFormat="1" applyFont="1" applyFill="1"/>
    <xf numFmtId="166" fontId="5" fillId="0" borderId="0" xfId="1" applyNumberFormat="1" applyFont="1" applyBorder="1"/>
    <xf numFmtId="165" fontId="5" fillId="0" borderId="0" xfId="0" applyNumberFormat="1" applyFont="1"/>
    <xf numFmtId="165" fontId="5" fillId="0" borderId="10" xfId="1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9" borderId="0" xfId="0" applyFont="1" applyFill="1" applyBorder="1" applyAlignment="1">
      <alignment horizontal="right"/>
    </xf>
    <xf numFmtId="0" fontId="11" fillId="0" borderId="0" xfId="0" applyFont="1"/>
    <xf numFmtId="0" fontId="5" fillId="0" borderId="0" xfId="0" applyFont="1" applyFill="1" applyBorder="1" applyAlignment="1">
      <alignment horizontal="right"/>
    </xf>
    <xf numFmtId="0" fontId="5" fillId="0" borderId="0" xfId="0" quotePrefix="1" applyFont="1"/>
    <xf numFmtId="0" fontId="5" fillId="0" borderId="0" xfId="0" applyFont="1" applyAlignment="1">
      <alignment horizontal="center"/>
    </xf>
    <xf numFmtId="4" fontId="5" fillId="5" borderId="9" xfId="0" applyNumberFormat="1" applyFont="1" applyFill="1" applyBorder="1"/>
    <xf numFmtId="4" fontId="5" fillId="7" borderId="0" xfId="0" applyNumberFormat="1" applyFont="1" applyFill="1"/>
    <xf numFmtId="0" fontId="5" fillId="9" borderId="0" xfId="0" applyFont="1" applyFill="1"/>
    <xf numFmtId="0" fontId="5" fillId="0" borderId="0" xfId="0" applyFont="1" applyFill="1" applyAlignment="1">
      <alignment horizontal="right"/>
    </xf>
    <xf numFmtId="165" fontId="5" fillId="5" borderId="0" xfId="1" applyNumberFormat="1" applyFont="1" applyFill="1"/>
    <xf numFmtId="0" fontId="5" fillId="9" borderId="0" xfId="0" applyFont="1" applyFill="1" applyAlignment="1">
      <alignment horizontal="right"/>
    </xf>
    <xf numFmtId="165" fontId="5" fillId="9" borderId="0" xfId="1" applyNumberFormat="1" applyFont="1" applyFill="1"/>
    <xf numFmtId="4" fontId="5" fillId="2" borderId="0" xfId="0" applyNumberFormat="1" applyFont="1" applyFill="1"/>
    <xf numFmtId="4" fontId="5" fillId="9" borderId="0" xfId="0" applyNumberFormat="1" applyFont="1" applyFill="1" applyAlignment="1">
      <alignment horizontal="right"/>
    </xf>
    <xf numFmtId="0" fontId="8" fillId="5" borderId="0" xfId="0" applyFont="1" applyFill="1"/>
    <xf numFmtId="0" fontId="5" fillId="5" borderId="0" xfId="0" applyFont="1" applyFill="1"/>
    <xf numFmtId="0" fontId="5" fillId="0" borderId="0" xfId="0" applyFont="1" applyFill="1" applyBorder="1" applyAlignment="1">
      <alignment horizontal="left"/>
    </xf>
    <xf numFmtId="165" fontId="5" fillId="5" borderId="0" xfId="0" applyNumberFormat="1" applyFont="1" applyFill="1"/>
    <xf numFmtId="0" fontId="5" fillId="0" borderId="0" xfId="0" applyFont="1" applyAlignment="1">
      <alignment horizontal="left"/>
    </xf>
    <xf numFmtId="4" fontId="5" fillId="5" borderId="0" xfId="0" applyNumberFormat="1" applyFont="1" applyFill="1"/>
    <xf numFmtId="0" fontId="8" fillId="3" borderId="0" xfId="0" applyFont="1" applyFill="1"/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10" borderId="0" xfId="0" applyFont="1" applyFill="1" applyAlignment="1">
      <alignment horizontal="right"/>
    </xf>
    <xf numFmtId="4" fontId="5" fillId="10" borderId="0" xfId="0" applyNumberFormat="1" applyFont="1" applyFill="1"/>
    <xf numFmtId="0" fontId="5" fillId="0" borderId="12" xfId="0" applyFont="1" applyBorder="1"/>
    <xf numFmtId="4" fontId="5" fillId="0" borderId="9" xfId="0" quotePrefix="1" applyNumberFormat="1" applyFont="1" applyBorder="1" applyAlignment="1">
      <alignment wrapText="1"/>
    </xf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/>
    <xf numFmtId="4" fontId="11" fillId="5" borderId="0" xfId="0" applyNumberFormat="1" applyFont="1" applyFill="1"/>
    <xf numFmtId="0" fontId="5" fillId="0" borderId="12" xfId="0" applyFont="1" applyBorder="1" applyAlignment="1">
      <alignment horizontal="right"/>
    </xf>
    <xf numFmtId="4" fontId="5" fillId="4" borderId="16" xfId="0" applyNumberFormat="1" applyFont="1" applyFill="1" applyBorder="1"/>
    <xf numFmtId="4" fontId="5" fillId="7" borderId="16" xfId="0" applyNumberFormat="1" applyFont="1" applyFill="1" applyBorder="1"/>
    <xf numFmtId="3" fontId="5" fillId="0" borderId="0" xfId="0" applyNumberFormat="1" applyFont="1"/>
    <xf numFmtId="3" fontId="5" fillId="0" borderId="9" xfId="0" applyNumberFormat="1" applyFont="1" applyBorder="1"/>
    <xf numFmtId="4" fontId="5" fillId="9" borderId="0" xfId="0" applyNumberFormat="1" applyFont="1" applyFill="1"/>
    <xf numFmtId="167" fontId="5" fillId="0" borderId="0" xfId="2" applyNumberFormat="1" applyFont="1"/>
    <xf numFmtId="4" fontId="5" fillId="0" borderId="0" xfId="1" applyNumberFormat="1" applyFont="1"/>
    <xf numFmtId="4" fontId="5" fillId="0" borderId="9" xfId="1" applyNumberFormat="1" applyFont="1" applyBorder="1"/>
    <xf numFmtId="0" fontId="9" fillId="0" borderId="17" xfId="0" applyFont="1" applyBorder="1"/>
    <xf numFmtId="0" fontId="9" fillId="0" borderId="18" xfId="0" applyFont="1" applyBorder="1" applyAlignment="1">
      <alignment horizontal="right"/>
    </xf>
    <xf numFmtId="4" fontId="9" fillId="0" borderId="18" xfId="0" applyNumberFormat="1" applyFont="1" applyBorder="1"/>
    <xf numFmtId="4" fontId="9" fillId="0" borderId="18" xfId="0" applyNumberFormat="1" applyFont="1" applyBorder="1" applyAlignment="1">
      <alignment horizontal="right"/>
    </xf>
    <xf numFmtId="4" fontId="9" fillId="4" borderId="19" xfId="0" applyNumberFormat="1" applyFont="1" applyFill="1" applyBorder="1"/>
    <xf numFmtId="0" fontId="9" fillId="0" borderId="0" xfId="0" applyFont="1"/>
    <xf numFmtId="0" fontId="9" fillId="0" borderId="20" xfId="0" applyFont="1" applyBorder="1"/>
    <xf numFmtId="0" fontId="9" fillId="0" borderId="0" xfId="0" applyFont="1" applyBorder="1" applyAlignment="1">
      <alignment horizontal="right"/>
    </xf>
    <xf numFmtId="4" fontId="9" fillId="0" borderId="0" xfId="0" applyNumberFormat="1" applyFont="1" applyBorder="1"/>
    <xf numFmtId="4" fontId="9" fillId="0" borderId="0" xfId="0" applyNumberFormat="1" applyFont="1" applyBorder="1" applyAlignment="1">
      <alignment horizontal="right"/>
    </xf>
    <xf numFmtId="4" fontId="9" fillId="2" borderId="22" xfId="0" applyNumberFormat="1" applyFont="1" applyFill="1" applyBorder="1"/>
    <xf numFmtId="0" fontId="12" fillId="0" borderId="9" xfId="0" applyFont="1" applyBorder="1"/>
    <xf numFmtId="4" fontId="9" fillId="0" borderId="9" xfId="0" applyNumberFormat="1" applyFont="1" applyBorder="1" applyAlignment="1">
      <alignment horizontal="right"/>
    </xf>
    <xf numFmtId="4" fontId="9" fillId="2" borderId="21" xfId="0" applyNumberFormat="1" applyFont="1" applyFill="1" applyBorder="1"/>
    <xf numFmtId="165" fontId="9" fillId="0" borderId="20" xfId="1" applyNumberFormat="1" applyFont="1" applyBorder="1"/>
    <xf numFmtId="0" fontId="9" fillId="4" borderId="0" xfId="0" applyFont="1" applyFill="1" applyBorder="1" applyAlignment="1">
      <alignment horizontal="right"/>
    </xf>
    <xf numFmtId="4" fontId="9" fillId="4" borderId="0" xfId="0" applyNumberFormat="1" applyFont="1" applyFill="1" applyBorder="1"/>
    <xf numFmtId="4" fontId="9" fillId="0" borderId="0" xfId="0" applyNumberFormat="1" applyFont="1" applyFill="1" applyBorder="1"/>
    <xf numFmtId="4" fontId="9" fillId="0" borderId="0" xfId="0" applyNumberFormat="1" applyFont="1" applyFill="1" applyBorder="1" applyAlignment="1">
      <alignment horizontal="right"/>
    </xf>
    <xf numFmtId="4" fontId="9" fillId="8" borderId="22" xfId="0" applyNumberFormat="1" applyFont="1" applyFill="1" applyBorder="1"/>
    <xf numFmtId="0" fontId="9" fillId="0" borderId="0" xfId="0" applyFont="1" applyFill="1" applyBorder="1"/>
    <xf numFmtId="0" fontId="9" fillId="0" borderId="22" xfId="0" applyFont="1" applyFill="1" applyBorder="1"/>
    <xf numFmtId="0" fontId="9" fillId="0" borderId="0" xfId="0" applyFont="1" applyFill="1"/>
    <xf numFmtId="0" fontId="9" fillId="0" borderId="0" xfId="0" applyFont="1" applyBorder="1"/>
    <xf numFmtId="4" fontId="9" fillId="0" borderId="20" xfId="0" applyNumberFormat="1" applyFont="1" applyBorder="1"/>
    <xf numFmtId="0" fontId="9" fillId="0" borderId="23" xfId="0" applyFont="1" applyBorder="1"/>
    <xf numFmtId="0" fontId="9" fillId="0" borderId="9" xfId="0" applyFont="1" applyBorder="1"/>
    <xf numFmtId="0" fontId="5" fillId="0" borderId="21" xfId="0" applyFont="1" applyBorder="1" applyAlignment="1">
      <alignment horizontal="center"/>
    </xf>
    <xf numFmtId="4" fontId="5" fillId="0" borderId="16" xfId="0" applyNumberFormat="1" applyFont="1" applyBorder="1"/>
    <xf numFmtId="0" fontId="9" fillId="0" borderId="17" xfId="0" applyFont="1" applyBorder="1" applyAlignment="1">
      <alignment horizontal="right"/>
    </xf>
    <xf numFmtId="0" fontId="9" fillId="0" borderId="20" xfId="0" applyFont="1" applyFill="1" applyBorder="1"/>
    <xf numFmtId="0" fontId="5" fillId="0" borderId="0" xfId="0" applyFont="1" applyFill="1" applyBorder="1"/>
    <xf numFmtId="0" fontId="9" fillId="0" borderId="0" xfId="0" applyFont="1" applyFill="1" applyBorder="1" applyAlignment="1">
      <alignment horizontal="right"/>
    </xf>
    <xf numFmtId="165" fontId="5" fillId="5" borderId="12" xfId="0" applyNumberFormat="1" applyFont="1" applyFill="1" applyBorder="1"/>
    <xf numFmtId="0" fontId="5" fillId="0" borderId="20" xfId="0" applyFont="1" applyBorder="1"/>
    <xf numFmtId="4" fontId="5" fillId="7" borderId="22" xfId="0" applyNumberFormat="1" applyFont="1" applyFill="1" applyBorder="1" applyAlignment="1">
      <alignment horizontal="center"/>
    </xf>
    <xf numFmtId="4" fontId="5" fillId="11" borderId="0" xfId="0" applyNumberFormat="1" applyFont="1" applyFill="1"/>
    <xf numFmtId="0" fontId="5" fillId="0" borderId="23" xfId="0" applyFont="1" applyBorder="1"/>
    <xf numFmtId="4" fontId="5" fillId="7" borderId="21" xfId="0" applyNumberFormat="1" applyFont="1" applyFill="1" applyBorder="1" applyAlignment="1">
      <alignment horizontal="center"/>
    </xf>
    <xf numFmtId="4" fontId="5" fillId="5" borderId="12" xfId="0" applyNumberFormat="1" applyFont="1" applyFill="1" applyBorder="1"/>
    <xf numFmtId="4" fontId="5" fillId="0" borderId="24" xfId="0" applyNumberFormat="1" applyFont="1" applyBorder="1"/>
    <xf numFmtId="4" fontId="5" fillId="0" borderId="25" xfId="0" applyNumberFormat="1" applyFont="1" applyBorder="1"/>
    <xf numFmtId="0" fontId="5" fillId="0" borderId="0" xfId="0" applyFont="1" applyAlignment="1"/>
    <xf numFmtId="9" fontId="5" fillId="0" borderId="0" xfId="2" applyFont="1"/>
    <xf numFmtId="164" fontId="5" fillId="0" borderId="0" xfId="1" applyFont="1"/>
    <xf numFmtId="168" fontId="5" fillId="0" borderId="0" xfId="2" applyNumberFormat="1" applyFont="1"/>
    <xf numFmtId="164" fontId="5" fillId="2" borderId="0" xfId="1" applyFont="1" applyFill="1"/>
    <xf numFmtId="43" fontId="5" fillId="0" borderId="0" xfId="0" applyNumberFormat="1" applyFont="1"/>
    <xf numFmtId="1" fontId="5" fillId="0" borderId="0" xfId="0" applyNumberFormat="1" applyFont="1"/>
    <xf numFmtId="4" fontId="5" fillId="0" borderId="0" xfId="1" applyNumberFormat="1" applyFont="1" applyAlignment="1">
      <alignment horizontal="right"/>
    </xf>
    <xf numFmtId="4" fontId="5" fillId="0" borderId="9" xfId="1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0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12" borderId="0" xfId="0" applyFont="1" applyFill="1"/>
    <xf numFmtId="0" fontId="5" fillId="0" borderId="0" xfId="0" applyFont="1" applyAlignment="1">
      <alignment wrapText="1"/>
    </xf>
    <xf numFmtId="165" fontId="5" fillId="2" borderId="0" xfId="1" applyNumberFormat="1" applyFont="1" applyFill="1" applyAlignment="1">
      <alignment horizontal="right"/>
    </xf>
    <xf numFmtId="165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5" fontId="5" fillId="0" borderId="0" xfId="1" applyNumberFormat="1" applyFont="1" applyAlignment="1">
      <alignment horizontal="right"/>
    </xf>
    <xf numFmtId="10" fontId="5" fillId="0" borderId="0" xfId="2" applyNumberFormat="1" applyFont="1"/>
    <xf numFmtId="0" fontId="16" fillId="0" borderId="0" xfId="0" applyFont="1" applyAlignment="1">
      <alignment horizontal="left" vertical="center"/>
    </xf>
    <xf numFmtId="2" fontId="9" fillId="0" borderId="23" xfId="0" applyNumberFormat="1" applyFont="1" applyBorder="1" applyAlignment="1">
      <alignment horizontal="left" indent="2"/>
    </xf>
    <xf numFmtId="169" fontId="14" fillId="0" borderId="0" xfId="0" applyNumberFormat="1" applyFont="1" applyFill="1"/>
    <xf numFmtId="2" fontId="9" fillId="0" borderId="23" xfId="0" applyNumberFormat="1" applyFont="1" applyBorder="1"/>
    <xf numFmtId="4" fontId="9" fillId="0" borderId="9" xfId="0" applyNumberFormat="1" applyFont="1" applyBorder="1"/>
    <xf numFmtId="2" fontId="9" fillId="0" borderId="0" xfId="0" applyNumberFormat="1" applyFont="1" applyAlignment="1">
      <alignment horizontal="right"/>
    </xf>
    <xf numFmtId="10" fontId="5" fillId="0" borderId="0" xfId="0" applyNumberFormat="1" applyFont="1"/>
    <xf numFmtId="170" fontId="5" fillId="13" borderId="31" xfId="0" applyNumberFormat="1" applyFont="1" applyFill="1" applyBorder="1" applyProtection="1">
      <protection hidden="1"/>
    </xf>
    <xf numFmtId="44" fontId="5" fillId="0" borderId="0" xfId="3" applyFont="1"/>
    <xf numFmtId="10" fontId="14" fillId="0" borderId="0" xfId="0" applyNumberFormat="1" applyFont="1"/>
    <xf numFmtId="44" fontId="5" fillId="14" borderId="0" xfId="0" applyNumberFormat="1" applyFont="1" applyFill="1"/>
    <xf numFmtId="169" fontId="5" fillId="0" borderId="0" xfId="0" applyNumberFormat="1" applyFont="1"/>
    <xf numFmtId="2" fontId="5" fillId="15" borderId="0" xfId="0" applyNumberFormat="1" applyFont="1" applyFill="1"/>
    <xf numFmtId="171" fontId="5" fillId="0" borderId="0" xfId="0" applyNumberFormat="1" applyFont="1"/>
    <xf numFmtId="0" fontId="14" fillId="0" borderId="0" xfId="0" applyFont="1"/>
    <xf numFmtId="0" fontId="12" fillId="0" borderId="0" xfId="0" applyFont="1"/>
    <xf numFmtId="169" fontId="5" fillId="0" borderId="0" xfId="0" applyNumberFormat="1" applyFont="1" applyBorder="1"/>
    <xf numFmtId="169" fontId="5" fillId="0" borderId="5" xfId="0" applyNumberFormat="1" applyFont="1" applyBorder="1"/>
    <xf numFmtId="0" fontId="5" fillId="0" borderId="4" xfId="0" quotePrefix="1" applyFont="1" applyBorder="1"/>
    <xf numFmtId="44" fontId="5" fillId="0" borderId="0" xfId="3" applyFont="1" applyBorder="1"/>
    <xf numFmtId="44" fontId="5" fillId="0" borderId="2" xfId="3" applyFont="1" applyBorder="1"/>
    <xf numFmtId="44" fontId="5" fillId="0" borderId="3" xfId="3" applyFont="1" applyBorder="1"/>
    <xf numFmtId="44" fontId="5" fillId="0" borderId="5" xfId="3" applyFont="1" applyBorder="1"/>
    <xf numFmtId="44" fontId="5" fillId="0" borderId="0" xfId="0" applyNumberFormat="1" applyFont="1" applyBorder="1"/>
    <xf numFmtId="0" fontId="19" fillId="16" borderId="2" xfId="0" applyFont="1" applyFill="1" applyBorder="1"/>
    <xf numFmtId="0" fontId="19" fillId="16" borderId="3" xfId="0" applyFont="1" applyFill="1" applyBorder="1"/>
    <xf numFmtId="173" fontId="5" fillId="0" borderId="0" xfId="3" applyNumberFormat="1" applyFont="1"/>
    <xf numFmtId="0" fontId="19" fillId="0" borderId="0" xfId="0" applyFont="1"/>
    <xf numFmtId="174" fontId="5" fillId="0" borderId="0" xfId="0" applyNumberFormat="1" applyFont="1"/>
    <xf numFmtId="172" fontId="5" fillId="2" borderId="7" xfId="0" applyNumberFormat="1" applyFont="1" applyFill="1" applyBorder="1"/>
    <xf numFmtId="0" fontId="5" fillId="0" borderId="6" xfId="0" quotePrefix="1" applyFont="1" applyBorder="1" applyAlignment="1">
      <alignment horizontal="right"/>
    </xf>
    <xf numFmtId="0" fontId="5" fillId="2" borderId="7" xfId="0" applyNumberFormat="1" applyFont="1" applyFill="1" applyBorder="1"/>
    <xf numFmtId="4" fontId="7" fillId="2" borderId="0" xfId="4" applyNumberForma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0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4" fontId="4" fillId="0" borderId="0" xfId="0" applyNumberFormat="1" applyFont="1" applyFill="1" applyBorder="1"/>
    <xf numFmtId="4" fontId="4" fillId="0" borderId="0" xfId="0" applyNumberFormat="1" applyFont="1" applyBorder="1"/>
    <xf numFmtId="4" fontId="20" fillId="0" borderId="0" xfId="0" applyNumberFormat="1" applyFont="1" applyFill="1" applyBorder="1"/>
    <xf numFmtId="0" fontId="4" fillId="0" borderId="9" xfId="0" applyFont="1" applyFill="1" applyBorder="1"/>
    <xf numFmtId="4" fontId="4" fillId="0" borderId="9" xfId="0" applyNumberFormat="1" applyFont="1" applyFill="1" applyBorder="1"/>
    <xf numFmtId="4" fontId="4" fillId="0" borderId="9" xfId="0" applyNumberFormat="1" applyFont="1" applyBorder="1"/>
    <xf numFmtId="165" fontId="4" fillId="0" borderId="0" xfId="1" applyNumberFormat="1" applyFont="1" applyFill="1" applyBorder="1"/>
    <xf numFmtId="0" fontId="4" fillId="0" borderId="5" xfId="0" applyFont="1" applyFill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/>
    </xf>
    <xf numFmtId="165" fontId="4" fillId="0" borderId="2" xfId="1" applyNumberFormat="1" applyFont="1" applyFill="1" applyBorder="1"/>
    <xf numFmtId="0" fontId="4" fillId="0" borderId="2" xfId="0" applyFont="1" applyFill="1" applyBorder="1" applyAlignment="1">
      <alignment wrapText="1"/>
    </xf>
    <xf numFmtId="0" fontId="4" fillId="0" borderId="8" xfId="0" applyFont="1" applyBorder="1"/>
    <xf numFmtId="0" fontId="4" fillId="0" borderId="0" xfId="0" applyFont="1" applyFill="1" applyBorder="1" applyAlignment="1">
      <alignment horizontal="right"/>
    </xf>
    <xf numFmtId="166" fontId="4" fillId="0" borderId="0" xfId="1" applyNumberFormat="1" applyFont="1" applyFill="1" applyBorder="1"/>
    <xf numFmtId="4" fontId="4" fillId="0" borderId="7" xfId="0" applyNumberFormat="1" applyFont="1" applyFill="1" applyBorder="1"/>
    <xf numFmtId="4" fontId="4" fillId="0" borderId="7" xfId="0" applyNumberFormat="1" applyFont="1" applyBorder="1"/>
    <xf numFmtId="165" fontId="4" fillId="0" borderId="0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/>
    <xf numFmtId="0" fontId="20" fillId="0" borderId="0" xfId="0" applyFont="1" applyFill="1" applyBorder="1"/>
    <xf numFmtId="165" fontId="20" fillId="0" borderId="0" xfId="1" applyNumberFormat="1" applyFont="1" applyFill="1" applyBorder="1"/>
    <xf numFmtId="0" fontId="21" fillId="3" borderId="0" xfId="0" applyFont="1" applyFill="1"/>
    <xf numFmtId="0" fontId="22" fillId="3" borderId="0" xfId="0" applyFont="1" applyFill="1"/>
    <xf numFmtId="0" fontId="4" fillId="0" borderId="7" xfId="0" applyFont="1" applyFill="1" applyBorder="1" applyAlignment="1">
      <alignment horizontal="right"/>
    </xf>
    <xf numFmtId="166" fontId="4" fillId="0" borderId="7" xfId="1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23" xfId="0" applyBorder="1"/>
    <xf numFmtId="0" fontId="0" fillId="10" borderId="0" xfId="0" applyFill="1"/>
    <xf numFmtId="0" fontId="0" fillId="0" borderId="0" xfId="0" applyAlignment="1">
      <alignment horizontal="left"/>
    </xf>
    <xf numFmtId="4" fontId="0" fillId="0" borderId="0" xfId="0" applyNumberFormat="1" applyBorder="1"/>
    <xf numFmtId="4" fontId="0" fillId="0" borderId="9" xfId="0" applyNumberFormat="1" applyBorder="1"/>
    <xf numFmtId="4" fontId="0" fillId="0" borderId="19" xfId="0" applyNumberFormat="1" applyBorder="1"/>
    <xf numFmtId="0" fontId="0" fillId="0" borderId="9" xfId="0" applyBorder="1" applyAlignment="1">
      <alignment horizontal="right"/>
    </xf>
    <xf numFmtId="0" fontId="23" fillId="0" borderId="0" xfId="0" applyFont="1"/>
    <xf numFmtId="0" fontId="5" fillId="4" borderId="0" xfId="0" applyFont="1" applyFill="1"/>
    <xf numFmtId="0" fontId="5" fillId="2" borderId="0" xfId="0" applyFont="1" applyFill="1" applyAlignment="1">
      <alignment horizontal="right"/>
    </xf>
    <xf numFmtId="165" fontId="5" fillId="2" borderId="0" xfId="1" applyNumberFormat="1" applyFont="1" applyFill="1"/>
    <xf numFmtId="165" fontId="5" fillId="0" borderId="0" xfId="0" applyNumberFormat="1" applyFont="1" applyFill="1"/>
    <xf numFmtId="0" fontId="5" fillId="0" borderId="31" xfId="0" applyFont="1" applyBorder="1"/>
    <xf numFmtId="0" fontId="5" fillId="0" borderId="40" xfId="0" applyFont="1" applyBorder="1"/>
    <xf numFmtId="0" fontId="5" fillId="16" borderId="11" xfId="0" applyFont="1" applyFill="1" applyBorder="1"/>
    <xf numFmtId="165" fontId="5" fillId="16" borderId="41" xfId="0" applyNumberFormat="1" applyFont="1" applyFill="1" applyBorder="1"/>
    <xf numFmtId="165" fontId="5" fillId="16" borderId="42" xfId="0" applyNumberFormat="1" applyFont="1" applyFill="1" applyBorder="1"/>
    <xf numFmtId="165" fontId="5" fillId="16" borderId="43" xfId="0" applyNumberFormat="1" applyFont="1" applyFill="1" applyBorder="1"/>
    <xf numFmtId="165" fontId="5" fillId="0" borderId="40" xfId="0" applyNumberFormat="1" applyFont="1" applyBorder="1"/>
    <xf numFmtId="165" fontId="5" fillId="0" borderId="44" xfId="0" applyNumberFormat="1" applyFont="1" applyBorder="1"/>
    <xf numFmtId="0" fontId="5" fillId="0" borderId="11" xfId="0" applyFont="1" applyBorder="1"/>
    <xf numFmtId="165" fontId="5" fillId="5" borderId="31" xfId="0" applyNumberFormat="1" applyFont="1" applyFill="1" applyBorder="1"/>
    <xf numFmtId="0" fontId="5" fillId="0" borderId="40" xfId="0" applyFont="1" applyFill="1" applyBorder="1"/>
    <xf numFmtId="0" fontId="24" fillId="3" borderId="0" xfId="0" applyFont="1" applyFill="1"/>
    <xf numFmtId="0" fontId="24" fillId="0" borderId="0" xfId="0" applyFont="1"/>
    <xf numFmtId="0" fontId="5" fillId="0" borderId="17" xfId="0" applyFont="1" applyBorder="1"/>
    <xf numFmtId="165" fontId="5" fillId="0" borderId="18" xfId="0" applyNumberFormat="1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0" xfId="0" applyNumberFormat="1" applyFont="1" applyBorder="1"/>
    <xf numFmtId="165" fontId="5" fillId="0" borderId="22" xfId="0" applyNumberFormat="1" applyFont="1" applyBorder="1"/>
    <xf numFmtId="165" fontId="5" fillId="0" borderId="19" xfId="0" applyNumberFormat="1" applyFont="1" applyBorder="1"/>
    <xf numFmtId="0" fontId="5" fillId="0" borderId="22" xfId="0" applyFont="1" applyBorder="1"/>
    <xf numFmtId="165" fontId="5" fillId="0" borderId="9" xfId="0" applyNumberFormat="1" applyFont="1" applyBorder="1"/>
    <xf numFmtId="165" fontId="5" fillId="0" borderId="21" xfId="0" applyNumberFormat="1" applyFont="1" applyBorder="1"/>
    <xf numFmtId="0" fontId="5" fillId="0" borderId="21" xfId="0" applyFont="1" applyBorder="1"/>
    <xf numFmtId="165" fontId="5" fillId="10" borderId="0" xfId="0" applyNumberFormat="1" applyFont="1" applyFill="1"/>
    <xf numFmtId="0" fontId="5" fillId="10" borderId="9" xfId="0" applyFont="1" applyFill="1" applyBorder="1"/>
    <xf numFmtId="165" fontId="5" fillId="10" borderId="9" xfId="1" applyNumberFormat="1" applyFont="1" applyFill="1" applyBorder="1"/>
    <xf numFmtId="0" fontId="5" fillId="0" borderId="14" xfId="0" applyFont="1" applyBorder="1" applyAlignment="1">
      <alignment horizontal="left"/>
    </xf>
    <xf numFmtId="0" fontId="5" fillId="0" borderId="14" xfId="0" applyFont="1" applyBorder="1" applyAlignment="1"/>
    <xf numFmtId="165" fontId="5" fillId="0" borderId="14" xfId="1" applyNumberFormat="1" applyFont="1" applyBorder="1"/>
    <xf numFmtId="165" fontId="5" fillId="10" borderId="0" xfId="1" applyNumberFormat="1" applyFont="1" applyFill="1"/>
    <xf numFmtId="3" fontId="5" fillId="0" borderId="18" xfId="0" applyNumberFormat="1" applyFont="1" applyBorder="1"/>
    <xf numFmtId="0" fontId="5" fillId="0" borderId="22" xfId="0" quotePrefix="1" applyFont="1" applyBorder="1"/>
    <xf numFmtId="0" fontId="5" fillId="0" borderId="0" xfId="0" applyFont="1" applyBorder="1" applyAlignment="1">
      <alignment horizontal="right" vertical="center" indent="1"/>
    </xf>
    <xf numFmtId="3" fontId="5" fillId="0" borderId="0" xfId="0" applyNumberFormat="1" applyFont="1" applyBorder="1"/>
    <xf numFmtId="0" fontId="5" fillId="0" borderId="9" xfId="0" applyFont="1" applyBorder="1" applyAlignment="1">
      <alignment horizontal="right" wrapText="1"/>
    </xf>
    <xf numFmtId="0" fontId="5" fillId="0" borderId="31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12" xfId="0" applyNumberFormat="1" applyFont="1" applyBorder="1"/>
    <xf numFmtId="4" fontId="0" fillId="2" borderId="0" xfId="0" applyNumberFormat="1" applyFill="1"/>
    <xf numFmtId="4" fontId="0" fillId="0" borderId="0" xfId="0" applyNumberFormat="1"/>
    <xf numFmtId="4" fontId="0" fillId="0" borderId="0" xfId="0" applyNumberFormat="1" applyFill="1"/>
    <xf numFmtId="4" fontId="0" fillId="0" borderId="12" xfId="0" applyNumberFormat="1" applyBorder="1"/>
    <xf numFmtId="0" fontId="0" fillId="0" borderId="12" xfId="0" applyBorder="1"/>
    <xf numFmtId="4" fontId="0" fillId="0" borderId="9" xfId="0" quotePrefix="1" applyNumberForma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10" borderId="0" xfId="0" applyNumberFormat="1" applyFill="1"/>
    <xf numFmtId="165" fontId="0" fillId="0" borderId="10" xfId="0" applyNumberFormat="1" applyBorder="1"/>
    <xf numFmtId="0" fontId="0" fillId="0" borderId="10" xfId="0" applyBorder="1"/>
    <xf numFmtId="0" fontId="0" fillId="0" borderId="0" xfId="0" applyAlignment="1">
      <alignment wrapText="1"/>
    </xf>
    <xf numFmtId="4" fontId="0" fillId="0" borderId="18" xfId="0" applyNumberFormat="1" applyBorder="1"/>
    <xf numFmtId="4" fontId="0" fillId="0" borderId="21" xfId="0" applyNumberFormat="1" applyBorder="1"/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5" fontId="5" fillId="0" borderId="10" xfId="0" applyNumberFormat="1" applyFont="1" applyBorder="1"/>
    <xf numFmtId="0" fontId="5" fillId="0" borderId="10" xfId="0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4" fontId="5" fillId="0" borderId="21" xfId="0" applyNumberFormat="1" applyFont="1" applyBorder="1"/>
    <xf numFmtId="0" fontId="5" fillId="0" borderId="0" xfId="0" applyFont="1" applyAlignment="1">
      <alignment horizontal="left" vertical="center" wrapText="1"/>
    </xf>
    <xf numFmtId="4" fontId="5" fillId="0" borderId="22" xfId="0" applyNumberFormat="1" applyFont="1" applyBorder="1"/>
    <xf numFmtId="3" fontId="5" fillId="0" borderId="0" xfId="0" quotePrefix="1" applyNumberFormat="1" applyFont="1" applyBorder="1"/>
    <xf numFmtId="0" fontId="5" fillId="0" borderId="0" xfId="0" quotePrefix="1" applyFont="1" applyBorder="1"/>
    <xf numFmtId="4" fontId="5" fillId="0" borderId="0" xfId="0" quotePrefix="1" applyNumberFormat="1" applyFont="1" applyBorder="1"/>
    <xf numFmtId="4" fontId="5" fillId="0" borderId="9" xfId="0" quotePrefix="1" applyNumberFormat="1" applyFont="1" applyBorder="1"/>
    <xf numFmtId="0" fontId="25" fillId="0" borderId="0" xfId="4" applyFont="1"/>
    <xf numFmtId="2" fontId="14" fillId="0" borderId="0" xfId="0" applyNumberFormat="1" applyFont="1"/>
    <xf numFmtId="165" fontId="5" fillId="2" borderId="0" xfId="0" applyNumberFormat="1" applyFont="1" applyFill="1"/>
    <xf numFmtId="165" fontId="5" fillId="0" borderId="20" xfId="0" applyNumberFormat="1" applyFont="1" applyBorder="1"/>
    <xf numFmtId="165" fontId="5" fillId="0" borderId="23" xfId="0" applyNumberFormat="1" applyFont="1" applyBorder="1"/>
    <xf numFmtId="0" fontId="5" fillId="0" borderId="17" xfId="0" applyFont="1" applyBorder="1" applyAlignment="1">
      <alignment horizontal="right"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horizontal="right"/>
    </xf>
    <xf numFmtId="9" fontId="5" fillId="0" borderId="0" xfId="0" applyNumberFormat="1" applyFont="1" applyBorder="1"/>
    <xf numFmtId="9" fontId="5" fillId="0" borderId="0" xfId="2" applyFont="1" applyBorder="1"/>
    <xf numFmtId="2" fontId="5" fillId="0" borderId="22" xfId="0" applyNumberFormat="1" applyFont="1" applyBorder="1"/>
    <xf numFmtId="9" fontId="5" fillId="0" borderId="20" xfId="0" applyNumberFormat="1" applyFont="1" applyBorder="1" applyAlignment="1">
      <alignment horizontal="right"/>
    </xf>
    <xf numFmtId="9" fontId="5" fillId="0" borderId="9" xfId="0" applyNumberFormat="1" applyFont="1" applyBorder="1"/>
    <xf numFmtId="9" fontId="5" fillId="0" borderId="9" xfId="2" applyFont="1" applyBorder="1"/>
    <xf numFmtId="2" fontId="5" fillId="0" borderId="21" xfId="0" applyNumberFormat="1" applyFont="1" applyBorder="1"/>
    <xf numFmtId="0" fontId="4" fillId="0" borderId="35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10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5" fillId="19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4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10" borderId="0" xfId="0" applyFont="1" applyFill="1" applyAlignment="1">
      <alignment horizontal="left"/>
    </xf>
    <xf numFmtId="0" fontId="5" fillId="10" borderId="5" xfId="0" applyFont="1" applyFill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5" fillId="18" borderId="0" xfId="0" applyFont="1" applyFill="1" applyAlignment="1">
      <alignment horizontal="left"/>
    </xf>
    <xf numFmtId="0" fontId="5" fillId="18" borderId="5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17" borderId="0" xfId="0" applyFont="1" applyFill="1" applyAlignment="1">
      <alignment horizontal="left"/>
    </xf>
    <xf numFmtId="0" fontId="5" fillId="17" borderId="5" xfId="0" applyFont="1" applyFill="1" applyBorder="1" applyAlignment="1">
      <alignment horizontal="left"/>
    </xf>
    <xf numFmtId="0" fontId="5" fillId="0" borderId="9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4" fillId="0" borderId="0" xfId="0" applyFont="1" applyBorder="1" applyAlignment="1">
      <alignment vertical="center"/>
    </xf>
    <xf numFmtId="0" fontId="27" fillId="0" borderId="0" xfId="0" applyFont="1" applyBorder="1"/>
    <xf numFmtId="0" fontId="5" fillId="0" borderId="45" xfId="0" applyFont="1" applyBorder="1"/>
    <xf numFmtId="0" fontId="5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5" fillId="0" borderId="49" xfId="0" applyFont="1" applyBorder="1"/>
    <xf numFmtId="0" fontId="5" fillId="0" borderId="50" xfId="0" applyFont="1" applyBorder="1"/>
    <xf numFmtId="0" fontId="0" fillId="0" borderId="52" xfId="0" applyBorder="1"/>
    <xf numFmtId="0" fontId="16" fillId="0" borderId="0" xfId="0" applyFont="1" applyBorder="1"/>
    <xf numFmtId="0" fontId="4" fillId="0" borderId="51" xfId="0" applyFont="1" applyBorder="1"/>
    <xf numFmtId="0" fontId="27" fillId="0" borderId="51" xfId="0" applyFont="1" applyBorder="1"/>
  </cellXfs>
  <cellStyles count="5">
    <cellStyle name="Komma" xfId="1" builtinId="3"/>
    <cellStyle name="Link" xfId="4" builtinId="8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mruColors>
      <color rgb="FFFF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4900793650793"/>
          <c:y val="5.0925925925925923E-2"/>
          <c:w val="0.8528053571428571"/>
          <c:h val="0.90578995333916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'Exkurs Dynamiken Zins-Sensi'!$W$7</c:f>
              <c:strCache>
                <c:ptCount val="1"/>
                <c:pt idx="0">
                  <c:v>Delta Ertragswert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Zins-Sensi'!$W$8:$W$16</c:f>
              <c:numCache>
                <c:formatCode>_-* #,##0.00_-;\-* #,##0.00_-;_-* "-"??_-;_-@_-</c:formatCode>
                <c:ptCount val="9"/>
                <c:pt idx="0">
                  <c:v>8662.5573306245496</c:v>
                </c:pt>
                <c:pt idx="1">
                  <c:v>6400.4760204527265</c:v>
                </c:pt>
                <c:pt idx="2">
                  <c:v>4204.3740573152172</c:v>
                </c:pt>
                <c:pt idx="3">
                  <c:v>2071.6936276503257</c:v>
                </c:pt>
                <c:pt idx="4">
                  <c:v>0</c:v>
                </c:pt>
                <c:pt idx="5">
                  <c:v>-2013.0255238764657</c:v>
                </c:pt>
                <c:pt idx="6">
                  <c:v>-3969.5921910128382</c:v>
                </c:pt>
                <c:pt idx="7">
                  <c:v>-5871.8059473969479</c:v>
                </c:pt>
                <c:pt idx="8">
                  <c:v>-7721.6751883788675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46-40D4-9976-C72D72045B60}"/>
            </c:ext>
          </c:extLst>
        </c:ser>
        <c:ser>
          <c:idx val="1"/>
          <c:order val="1"/>
          <c:tx>
            <c:strRef>
              <c:f>'Exkurs Dynamiken Zins-Sensi'!$X$7</c:f>
              <c:strCache>
                <c:ptCount val="1"/>
                <c:pt idx="0">
                  <c:v>Delta Ertragswert ohne Marge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Zins-Sensi'!$X$8:$X$16</c:f>
              <c:numCache>
                <c:formatCode>_-* #,##0.00_-;\-* #,##0.00_-;_-* "-"??_-;_-@_-</c:formatCode>
                <c:ptCount val="9"/>
                <c:pt idx="0">
                  <c:v>8081.6326530612278</c:v>
                </c:pt>
                <c:pt idx="1">
                  <c:v>5970.5970597059786</c:v>
                </c:pt>
                <c:pt idx="2">
                  <c:v>3921.568627450979</c:v>
                </c:pt>
                <c:pt idx="3">
                  <c:v>1932.1349610689213</c:v>
                </c:pt>
                <c:pt idx="4">
                  <c:v>0</c:v>
                </c:pt>
                <c:pt idx="5">
                  <c:v>-1877.0226537216804</c:v>
                </c:pt>
                <c:pt idx="6">
                  <c:v>-3701.0159651669092</c:v>
                </c:pt>
                <c:pt idx="7">
                  <c:v>-5473.9652870493883</c:v>
                </c:pt>
                <c:pt idx="8">
                  <c:v>-7197.7638015373959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46-40D4-9976-C72D72045B60}"/>
            </c:ext>
          </c:extLst>
        </c:ser>
        <c:ser>
          <c:idx val="2"/>
          <c:order val="2"/>
          <c:tx>
            <c:strRef>
              <c:f>'Exkurs Dynamiken Zins-Sensi'!$Y$7</c:f>
              <c:strCache>
                <c:ptCount val="1"/>
                <c:pt idx="0">
                  <c:v>Delta Marktwert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Zins-Sensi'!$Y$8:$Y$16</c:f>
              <c:numCache>
                <c:formatCode>_-* #,##0.00_-;\-* #,##0.00_-;_-* "-"??_-;_-@_-</c:formatCode>
                <c:ptCount val="9"/>
                <c:pt idx="0">
                  <c:v>7581.3295615276002</c:v>
                </c:pt>
                <c:pt idx="1">
                  <c:v>5604.8834628191107</c:v>
                </c:pt>
                <c:pt idx="2">
                  <c:v>3683.8762362762063</c:v>
                </c:pt>
                <c:pt idx="3">
                  <c:v>1816.2393162393273</c:v>
                </c:pt>
                <c:pt idx="4">
                  <c:v>0</c:v>
                </c:pt>
                <c:pt idx="5">
                  <c:v>-1766.7238421955408</c:v>
                </c:pt>
                <c:pt idx="6">
                  <c:v>-3485.7287193735683</c:v>
                </c:pt>
                <c:pt idx="7">
                  <c:v>-5158.7301587301481</c:v>
                </c:pt>
                <c:pt idx="8">
                  <c:v>-6787.3670536656427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46-40D4-9976-C72D7204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50424"/>
        <c:axId val="661451080"/>
      </c:scatterChart>
      <c:valAx>
        <c:axId val="66145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661451080"/>
        <c:crossesAt val="-8000"/>
        <c:crossBetween val="midCat"/>
      </c:valAx>
      <c:valAx>
        <c:axId val="6614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661450424"/>
        <c:crossesAt val="-5.000000000000001E-2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.4214340375205806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de-DE"/>
                    <a:t>TEUR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98353174603178"/>
          <c:y val="0.59317074948964721"/>
          <c:w val="0.32329861111111108"/>
          <c:h val="0.2725699912510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4900793650793"/>
          <c:y val="5.0925925925925923E-2"/>
          <c:w val="0.8528053571428571"/>
          <c:h val="0.90578995333916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'Exkurs Dynamiken Zins-Sensi'!$W$7</c:f>
              <c:strCache>
                <c:ptCount val="1"/>
                <c:pt idx="0">
                  <c:v>Delta Ertragswert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Zins-Sensi'!$W$8:$W$16</c:f>
              <c:numCache>
                <c:formatCode>_-* #,##0.00_-;\-* #,##0.00_-;_-* "-"??_-;_-@_-</c:formatCode>
                <c:ptCount val="9"/>
                <c:pt idx="0">
                  <c:v>8662.5573306245496</c:v>
                </c:pt>
                <c:pt idx="1">
                  <c:v>6400.4760204527265</c:v>
                </c:pt>
                <c:pt idx="2">
                  <c:v>4204.3740573152172</c:v>
                </c:pt>
                <c:pt idx="3">
                  <c:v>2071.6936276503257</c:v>
                </c:pt>
                <c:pt idx="4">
                  <c:v>0</c:v>
                </c:pt>
                <c:pt idx="5">
                  <c:v>-2013.0255238764657</c:v>
                </c:pt>
                <c:pt idx="6">
                  <c:v>-3969.5921910128382</c:v>
                </c:pt>
                <c:pt idx="7">
                  <c:v>-5871.8059473969479</c:v>
                </c:pt>
                <c:pt idx="8">
                  <c:v>-7721.6751883788675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4E-4C71-B79C-0E659985A800}"/>
            </c:ext>
          </c:extLst>
        </c:ser>
        <c:ser>
          <c:idx val="2"/>
          <c:order val="1"/>
          <c:tx>
            <c:strRef>
              <c:f>'Exkurs Dynamiken Zins-Sensi'!$Y$7</c:f>
              <c:strCache>
                <c:ptCount val="1"/>
                <c:pt idx="0">
                  <c:v>Delta Marktwert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Zins-Sensi'!$Y$8:$Y$16</c:f>
              <c:numCache>
                <c:formatCode>_-* #,##0.00_-;\-* #,##0.00_-;_-* "-"??_-;_-@_-</c:formatCode>
                <c:ptCount val="9"/>
                <c:pt idx="0">
                  <c:v>7581.3295615276002</c:v>
                </c:pt>
                <c:pt idx="1">
                  <c:v>5604.8834628191107</c:v>
                </c:pt>
                <c:pt idx="2">
                  <c:v>3683.8762362762063</c:v>
                </c:pt>
                <c:pt idx="3">
                  <c:v>1816.2393162393273</c:v>
                </c:pt>
                <c:pt idx="4">
                  <c:v>0</c:v>
                </c:pt>
                <c:pt idx="5">
                  <c:v>-1766.7238421955408</c:v>
                </c:pt>
                <c:pt idx="6">
                  <c:v>-3485.7287193735683</c:v>
                </c:pt>
                <c:pt idx="7">
                  <c:v>-5158.7301587301481</c:v>
                </c:pt>
                <c:pt idx="8">
                  <c:v>-6787.3670536656427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4E-4C71-B79C-0E659985A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50424"/>
        <c:axId val="661451080"/>
      </c:scatterChart>
      <c:valAx>
        <c:axId val="66145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451080"/>
        <c:crossesAt val="-8000"/>
        <c:crossBetween val="midCat"/>
      </c:valAx>
      <c:valAx>
        <c:axId val="661451080"/>
        <c:scaling>
          <c:orientation val="minMax"/>
          <c:max val="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450424"/>
        <c:crossesAt val="-5.000000000000001E-2"/>
        <c:crossBetween val="midCat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98353174603178"/>
          <c:y val="0.59317074948964721"/>
          <c:w val="0.32329861111111108"/>
          <c:h val="0.2725699912510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9080919969749"/>
          <c:y val="9.9773242630385492E-2"/>
          <c:w val="0.79246229814493518"/>
          <c:h val="0.60300819540414596"/>
        </c:manualLayout>
      </c:layout>
      <c:lineChart>
        <c:grouping val="standard"/>
        <c:varyColors val="0"/>
        <c:ser>
          <c:idx val="0"/>
          <c:order val="0"/>
          <c:tx>
            <c:strRef>
              <c:f>'Exkurs Dynamiken Zins-Sensi'!$R$7</c:f>
              <c:strCache>
                <c:ptCount val="1"/>
                <c:pt idx="0">
                  <c:v>Ertragswert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cat>
          <c:val>
            <c:numRef>
              <c:f>'Exkurs Dynamiken Zins-Sensi'!$R$8:$R$16</c:f>
              <c:numCache>
                <c:formatCode>General</c:formatCode>
                <c:ptCount val="9"/>
                <c:pt idx="0">
                  <c:v>118183.67346938775</c:v>
                </c:pt>
                <c:pt idx="1">
                  <c:v>115921.59215921593</c:v>
                </c:pt>
                <c:pt idx="2">
                  <c:v>113725.49019607842</c:v>
                </c:pt>
                <c:pt idx="3">
                  <c:v>111592.80976641353</c:v>
                </c:pt>
                <c:pt idx="4">
                  <c:v>109521.1161387632</c:v>
                </c:pt>
                <c:pt idx="5">
                  <c:v>107508.09061488674</c:v>
                </c:pt>
                <c:pt idx="6">
                  <c:v>105551.52394775036</c:v>
                </c:pt>
                <c:pt idx="7">
                  <c:v>103649.31019136625</c:v>
                </c:pt>
                <c:pt idx="8">
                  <c:v>101799.44095038433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7-461C-AA5D-87F3ED2A93CA}"/>
            </c:ext>
          </c:extLst>
        </c:ser>
        <c:ser>
          <c:idx val="2"/>
          <c:order val="2"/>
          <c:tx>
            <c:strRef>
              <c:f>'Exkurs Dynamiken Zins-Sensi'!$T$7</c:f>
              <c:strCache>
                <c:ptCount val="1"/>
                <c:pt idx="0">
                  <c:v>Marktwert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cat>
          <c:val>
            <c:numRef>
              <c:f>'Exkurs Dynamiken Zins-Sensi'!$T$8:$T$16</c:f>
              <c:numCache>
                <c:formatCode>General</c:formatCode>
                <c:ptCount val="9"/>
                <c:pt idx="0">
                  <c:v>107581.32956152759</c:v>
                </c:pt>
                <c:pt idx="1">
                  <c:v>105604.8834628191</c:v>
                </c:pt>
                <c:pt idx="2">
                  <c:v>103683.87623627619</c:v>
                </c:pt>
                <c:pt idx="3">
                  <c:v>101816.23931623931</c:v>
                </c:pt>
                <c:pt idx="4">
                  <c:v>99999.999999999985</c:v>
                </c:pt>
                <c:pt idx="5">
                  <c:v>98233.276157804445</c:v>
                </c:pt>
                <c:pt idx="6">
                  <c:v>96514.271280626417</c:v>
                </c:pt>
                <c:pt idx="7">
                  <c:v>94841.269841269837</c:v>
                </c:pt>
                <c:pt idx="8">
                  <c:v>93212.632946334343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7-461C-AA5D-87F3ED2A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450424"/>
        <c:axId val="6614510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'Exkurs Dynamiken Zins-Sensi'!$S$7</c15:sqref>
                        </c15:formulaRef>
                      </c:ext>
                    </c:extLst>
                    <c:strCache>
                      <c:ptCount val="1"/>
                      <c:pt idx="0">
                        <c:v>Ertragswert ohne Marge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'Exkurs Dynamiken Zins-Sensi'!$L$8:$L$16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-0.04</c:v>
                      </c:pt>
                      <c:pt idx="1">
                        <c:v>-0.03</c:v>
                      </c:pt>
                      <c:pt idx="2">
                        <c:v>-0.02</c:v>
                      </c:pt>
                      <c:pt idx="3">
                        <c:v>-0.01</c:v>
                      </c:pt>
                      <c:pt idx="4">
                        <c:v>0</c:v>
                      </c:pt>
                      <c:pt idx="5">
                        <c:v>0.01</c:v>
                      </c:pt>
                      <c:pt idx="6">
                        <c:v>0.02</c:v>
                      </c:pt>
                      <c:pt idx="7">
                        <c:v>0.03</c:v>
                      </c:pt>
                      <c:pt idx="8">
                        <c:v>0.04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'Exkurs Dynamiken Zins-Sensi'!$S$8:$S$16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108081.63265306123</c:v>
                      </c:pt>
                      <c:pt idx="1">
                        <c:v>105970.59705970598</c:v>
                      </c:pt>
                      <c:pt idx="2">
                        <c:v>103921.56862745098</c:v>
                      </c:pt>
                      <c:pt idx="3">
                        <c:v>101932.13496106892</c:v>
                      </c:pt>
                      <c:pt idx="4">
                        <c:v>100000</c:v>
                      </c:pt>
                      <c:pt idx="5">
                        <c:v>98122.97734627832</c:v>
                      </c:pt>
                      <c:pt idx="6">
                        <c:v>96298.984034833091</c:v>
                      </c:pt>
                      <c:pt idx="7">
                        <c:v>94526.034712950612</c:v>
                      </c:pt>
                      <c:pt idx="8">
                        <c:v>92802.236198462604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097-461C-AA5D-87F3ED2A93CA}"/>
                  </c:ext>
                </c:extLst>
              </c15:ser>
            </c15:filteredLineSeries>
          </c:ext>
        </c:extLst>
      </c:lineChart>
      <c:catAx>
        <c:axId val="66145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451080"/>
        <c:crossesAt val="0"/>
        <c:auto val="1"/>
        <c:lblAlgn val="ctr"/>
        <c:lblOffset val="100"/>
        <c:tickMarkSkip val="1"/>
        <c:noMultiLvlLbl val="0"/>
      </c:catAx>
      <c:valAx>
        <c:axId val="661451080"/>
        <c:scaling>
          <c:orientation val="minMax"/>
          <c:min val="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450424"/>
        <c:crossesAt val="-5.000000000000001E-2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4766395635948"/>
          <c:y val="5.0925925925925923E-2"/>
          <c:w val="0.84997677330992139"/>
          <c:h val="0.90578995333916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'Exkurs Dynamiken Zins-Sensi'!$Z$7</c:f>
              <c:strCache>
                <c:ptCount val="1"/>
                <c:pt idx="0">
                  <c:v>DeltaErtragswert_SwapErtragswert_Hedged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Zins-Sensi'!$Z$8:$Z$16</c:f>
              <c:numCache>
                <c:formatCode>_(* #,##0.00_);_(* \(#,##0.00\);_(* "-"??_);_(@_)</c:formatCode>
                <c:ptCount val="9"/>
                <c:pt idx="0">
                  <c:v>-1.4551915228366852E-11</c:v>
                </c:pt>
                <c:pt idx="1">
                  <c:v>-1.4551915228366852E-11</c:v>
                </c:pt>
                <c:pt idx="2">
                  <c:v>-1.4551915228366852E-11</c:v>
                </c:pt>
                <c:pt idx="3">
                  <c:v>-1.4551915228366852E-11</c:v>
                </c:pt>
                <c:pt idx="4">
                  <c:v>0</c:v>
                </c:pt>
                <c:pt idx="5">
                  <c:v>-1.4551915228366852E-11</c:v>
                </c:pt>
                <c:pt idx="6">
                  <c:v>-1.4551915228366852E-11</c:v>
                </c:pt>
                <c:pt idx="7">
                  <c:v>-1.4551915228366852E-11</c:v>
                </c:pt>
                <c:pt idx="8">
                  <c:v>-1.4551915228366852E-11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FD-499E-803E-8116196435F0}"/>
            </c:ext>
          </c:extLst>
        </c:ser>
        <c:ser>
          <c:idx val="2"/>
          <c:order val="1"/>
          <c:tx>
            <c:strRef>
              <c:f>'Exkurs Dynamiken Zins-Sensi'!$AA$7</c:f>
              <c:strCache>
                <c:ptCount val="1"/>
                <c:pt idx="0">
                  <c:v>DeltaMarktwert_SwapErtragswert_Hedged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Zins-Sensi'!$AA$8:$AA$16</c:f>
              <c:numCache>
                <c:formatCode>_(* #,##0.00_);_(* \(#,##0.00\);_(* "-"??_);_(@_)</c:formatCode>
                <c:ptCount val="9"/>
                <c:pt idx="0">
                  <c:v>-1081.227769096964</c:v>
                </c:pt>
                <c:pt idx="1">
                  <c:v>-795.59255763363035</c:v>
                </c:pt>
                <c:pt idx="2">
                  <c:v>-520.49782103902544</c:v>
                </c:pt>
                <c:pt idx="3">
                  <c:v>-255.4543114110129</c:v>
                </c:pt>
                <c:pt idx="4">
                  <c:v>0</c:v>
                </c:pt>
                <c:pt idx="5">
                  <c:v>246.30168168091041</c:v>
                </c:pt>
                <c:pt idx="6">
                  <c:v>483.86347163925529</c:v>
                </c:pt>
                <c:pt idx="7">
                  <c:v>713.07578866678523</c:v>
                </c:pt>
                <c:pt idx="8">
                  <c:v>934.30813471321017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FD-499E-803E-81161964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50424"/>
        <c:axId val="661451080"/>
      </c:scatterChart>
      <c:valAx>
        <c:axId val="66145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661451080"/>
        <c:crossesAt val="-8000"/>
        <c:crossBetween val="midCat"/>
      </c:valAx>
      <c:valAx>
        <c:axId val="6614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661450424"/>
        <c:crossesAt val="-5.000000000000001E-2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6559975885514428E-4"/>
                <c:y val="0.4131759640278781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de-DE"/>
                    <a:t>TEUR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30496031746034"/>
          <c:y val="3.2985564304461944E-2"/>
          <c:w val="0.51480654761904754"/>
          <c:h val="0.29108850976961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5398577994928"/>
          <c:y val="5.0925925925925923E-2"/>
          <c:w val="0.85237045148633162"/>
          <c:h val="0.90578995333916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'Exkurs Dynamiken Zins-Sensi'!$AB$7</c:f>
              <c:strCache>
                <c:ptCount val="1"/>
                <c:pt idx="0">
                  <c:v>DeltaErtragswert_SwapMarktwert_Hedged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Zins-Sensi'!$AB$8:$AB$16</c:f>
              <c:numCache>
                <c:formatCode>_(* #,##0.00_);_(* \(#,##0.00\);_(* "-"??_);_(@_)</c:formatCode>
                <c:ptCount val="9"/>
                <c:pt idx="0">
                  <c:v>1064.8188555734523</c:v>
                </c:pt>
                <c:pt idx="1">
                  <c:v>786.59498299253755</c:v>
                </c:pt>
                <c:pt idx="2">
                  <c:v>516.59528636730101</c:v>
                </c:pt>
                <c:pt idx="3">
                  <c:v>254.49878329638159</c:v>
                </c:pt>
                <c:pt idx="4">
                  <c:v>0</c:v>
                </c:pt>
                <c:pt idx="5">
                  <c:v>-247.19191927424981</c:v>
                </c:pt>
                <c:pt idx="6">
                  <c:v>-487.35404374277277</c:v>
                </c:pt>
                <c:pt idx="7">
                  <c:v>-720.7504329157091</c:v>
                </c:pt>
                <c:pt idx="8">
                  <c:v>-947.63286283315392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D-42C0-B52B-D62E8CFF59A7}"/>
            </c:ext>
          </c:extLst>
        </c:ser>
        <c:ser>
          <c:idx val="2"/>
          <c:order val="1"/>
          <c:tx>
            <c:strRef>
              <c:f>'Exkurs Dynamiken Zins-Sensi'!$AC$7</c:f>
              <c:strCache>
                <c:ptCount val="1"/>
                <c:pt idx="0">
                  <c:v>DeltaMarktwert_SwapMarktwert_Hedged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Zins-Sensi'!$L$8:$L$16</c:f>
              <c:numCache>
                <c:formatCode>0.0%</c:formatCode>
                <c:ptCount val="9"/>
                <c:pt idx="0">
                  <c:v>-0.04</c:v>
                </c:pt>
                <c:pt idx="1">
                  <c:v>-0.03</c:v>
                </c:pt>
                <c:pt idx="2">
                  <c:v>-0.02</c:v>
                </c:pt>
                <c:pt idx="3">
                  <c:v>-0.01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</c:numCache>
            </c:numRef>
          </c:xVal>
          <c:yVal>
            <c:numRef>
              <c:f>'Exkurs Dynamiken Zins-Sensi'!$AC$8:$AC$16</c:f>
              <c:numCache>
                <c:formatCode>_(* #,##0.00_);_(* \(#,##0.00\);_(* "-"??_);_(@_)</c:formatCode>
                <c:ptCount val="9"/>
                <c:pt idx="0">
                  <c:v>-16.408913523497176</c:v>
                </c:pt>
                <c:pt idx="1">
                  <c:v>-8.9975746410782449</c:v>
                </c:pt>
                <c:pt idx="2">
                  <c:v>-3.9025346717098728</c:v>
                </c:pt>
                <c:pt idx="3">
                  <c:v>-0.95552811461675446</c:v>
                </c:pt>
                <c:pt idx="4">
                  <c:v>0</c:v>
                </c:pt>
                <c:pt idx="5">
                  <c:v>-0.89023759332485497</c:v>
                </c:pt>
                <c:pt idx="6">
                  <c:v>-3.4905721035029273</c:v>
                </c:pt>
                <c:pt idx="7">
                  <c:v>-7.674644248909317</c:v>
                </c:pt>
                <c:pt idx="8">
                  <c:v>-13.324728119929205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6D-42C0-B52B-D62E8CFF5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50424"/>
        <c:axId val="661451080"/>
      </c:scatterChart>
      <c:valAx>
        <c:axId val="66145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661451080"/>
        <c:crossesAt val="-8000"/>
        <c:crossBetween val="midCat"/>
      </c:valAx>
      <c:valAx>
        <c:axId val="6614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661450424"/>
        <c:crossesAt val="-5.000000000000001E-2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.4179260674454841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de-DE"/>
                    <a:t>TEUR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8560811452626"/>
          <c:y val="0.60705963837853605"/>
          <c:w val="0.51480654761904754"/>
          <c:h val="0.17071813939924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89880952380936E-2"/>
          <c:y val="5.0925925925925923E-2"/>
          <c:w val="0.84725138888888885"/>
          <c:h val="0.90578995333916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'Exkurs Dynamiken Zins-Sensi'!$E$68</c:f>
              <c:strCache>
                <c:ptCount val="1"/>
                <c:pt idx="0">
                  <c:v>Marktwert des Bonds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'Exkurs Dynamiken Zins-Sensi'!$D$69:$D$79</c:f>
              <c:numCache>
                <c:formatCode>0%</c:formatCode>
                <c:ptCount val="11"/>
                <c:pt idx="0">
                  <c:v>-0.05</c:v>
                </c:pt>
                <c:pt idx="1">
                  <c:v>-0.04</c:v>
                </c:pt>
                <c:pt idx="2">
                  <c:v>-0.03</c:v>
                </c:pt>
                <c:pt idx="3">
                  <c:v>-0.02</c:v>
                </c:pt>
                <c:pt idx="4">
                  <c:v>-0.01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0.05</c:v>
                </c:pt>
              </c:numCache>
            </c:numRef>
          </c:xVal>
          <c:yVal>
            <c:numRef>
              <c:f>'Exkurs Dynamiken Zins-Sensi'!$E$69:$E$79</c:f>
              <c:numCache>
                <c:formatCode>#,##0.00</c:formatCode>
                <c:ptCount val="11"/>
                <c:pt idx="0">
                  <c:v>109615.38461538461</c:v>
                </c:pt>
                <c:pt idx="1">
                  <c:v>107581.32956152759</c:v>
                </c:pt>
                <c:pt idx="2">
                  <c:v>105604.8834628191</c:v>
                </c:pt>
                <c:pt idx="3">
                  <c:v>103683.87623627619</c:v>
                </c:pt>
                <c:pt idx="4">
                  <c:v>101816.23931623931</c:v>
                </c:pt>
                <c:pt idx="5">
                  <c:v>99999.999999999985</c:v>
                </c:pt>
                <c:pt idx="6">
                  <c:v>98233.276157804445</c:v>
                </c:pt>
                <c:pt idx="7">
                  <c:v>96514.271280626417</c:v>
                </c:pt>
                <c:pt idx="8">
                  <c:v>94841.269841269837</c:v>
                </c:pt>
                <c:pt idx="9">
                  <c:v>93212.632946334343</c:v>
                </c:pt>
                <c:pt idx="10">
                  <c:v>91626.794258373193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F9-4124-B0D9-AA74467ABEEE}"/>
            </c:ext>
          </c:extLst>
        </c:ser>
        <c:ser>
          <c:idx val="1"/>
          <c:order val="3"/>
          <c:tx>
            <c:strRef>
              <c:f>'Exkurs Dynamiken Zins-Sensi'!$H$68</c:f>
              <c:strCache>
                <c:ptCount val="1"/>
                <c:pt idx="0">
                  <c:v>Swap-Nominal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Zins-Sensi'!$D$69:$D$79</c:f>
              <c:numCache>
                <c:formatCode>0%</c:formatCode>
                <c:ptCount val="11"/>
                <c:pt idx="0">
                  <c:v>-0.05</c:v>
                </c:pt>
                <c:pt idx="1">
                  <c:v>-0.04</c:v>
                </c:pt>
                <c:pt idx="2">
                  <c:v>-0.03</c:v>
                </c:pt>
                <c:pt idx="3">
                  <c:v>-0.02</c:v>
                </c:pt>
                <c:pt idx="4">
                  <c:v>-0.01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0.05</c:v>
                </c:pt>
              </c:numCache>
            </c:numRef>
          </c:xVal>
          <c:yVal>
            <c:numRef>
              <c:f>'Exkurs Dynamiken Zins-Sensi'!$H$69:$H$79</c:f>
              <c:numCache>
                <c:formatCode>#,##0.00_ ;\-#,##0.00\ </c:formatCode>
                <c:ptCount val="11"/>
                <c:pt idx="0">
                  <c:v>-110634.65068059161</c:v>
                </c:pt>
                <c:pt idx="1">
                  <c:v>-107610.52123443355</c:v>
                </c:pt>
                <c:pt idx="2">
                  <c:v>-104700.84538208725</c:v>
                </c:pt>
                <c:pt idx="3">
                  <c:v>-101900.24403868962</c:v>
                </c:pt>
                <c:pt idx="4">
                  <c:v>-99203.639104726186</c:v>
                </c:pt>
                <c:pt idx="5">
                  <c:v>-96606.233979744502</c:v>
                </c:pt>
                <c:pt idx="6">
                  <c:v>-94103.495508695996</c:v>
                </c:pt>
                <c:pt idx="7">
                  <c:v>-91691.137238967334</c:v>
                </c:pt>
                <c:pt idx="8">
                  <c:v>-89365.103883649193</c:v>
                </c:pt>
                <c:pt idx="9">
                  <c:v>-87121.556894471723</c:v>
                </c:pt>
                <c:pt idx="10">
                  <c:v>-84956.86105169011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F9-4124-B0D9-AA74467AB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50424"/>
        <c:axId val="661451080"/>
      </c:scatterChart>
      <c:scatterChart>
        <c:scatterStyle val="lineMarker"/>
        <c:varyColors val="0"/>
        <c:ser>
          <c:idx val="3"/>
          <c:order val="1"/>
          <c:tx>
            <c:strRef>
              <c:f>'Exkurs Dynamiken Zins-Sensi'!$F$68</c:f>
              <c:strCache>
                <c:ptCount val="1"/>
                <c:pt idx="0">
                  <c:v>Bond  Zins-Sensitivität EUR/+1BP
[kumuliert]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'Exkurs Dynamiken Zins-Sensi'!$D$69:$D$79</c:f>
              <c:numCache>
                <c:formatCode>0%</c:formatCode>
                <c:ptCount val="11"/>
                <c:pt idx="0">
                  <c:v>-0.05</c:v>
                </c:pt>
                <c:pt idx="1">
                  <c:v>-0.04</c:v>
                </c:pt>
                <c:pt idx="2">
                  <c:v>-0.03</c:v>
                </c:pt>
                <c:pt idx="3">
                  <c:v>-0.02</c:v>
                </c:pt>
                <c:pt idx="4">
                  <c:v>-0.01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0.05</c:v>
                </c:pt>
              </c:numCache>
            </c:numRef>
          </c:xVal>
          <c:yVal>
            <c:numRef>
              <c:f>'Exkurs Dynamiken Zins-Sensi'!$F$69:$F$79</c:f>
              <c:numCache>
                <c:formatCode>0.00</c:formatCode>
                <c:ptCount val="11"/>
                <c:pt idx="0">
                  <c:v>-20.63310120809183</c:v>
                </c:pt>
                <c:pt idx="1">
                  <c:v>-20.045921775221359</c:v>
                </c:pt>
                <c:pt idx="2">
                  <c:v>-19.480965199370985</c:v>
                </c:pt>
                <c:pt idx="3">
                  <c:v>-18.937187051749788</c:v>
                </c:pt>
                <c:pt idx="4">
                  <c:v>-18.413601344218478</c:v>
                </c:pt>
                <c:pt idx="5">
                  <c:v>-17.909276745893294</c:v>
                </c:pt>
                <c:pt idx="6">
                  <c:v>-17.423333077749703</c:v>
                </c:pt>
                <c:pt idx="7">
                  <c:v>-16.954938061680878</c:v>
                </c:pt>
                <c:pt idx="8">
                  <c:v>-16.503304303725599</c:v>
                </c:pt>
                <c:pt idx="9">
                  <c:v>-16.067686492955545</c:v>
                </c:pt>
                <c:pt idx="10">
                  <c:v>-15.64737879781751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89-4484-AF08-C2AC556A30AA}"/>
            </c:ext>
          </c:extLst>
        </c:ser>
        <c:ser>
          <c:idx val="2"/>
          <c:order val="2"/>
          <c:tx>
            <c:strRef>
              <c:f>'Exkurs Dynamiken Zins-Sensi'!$K$68</c:f>
              <c:strCache>
                <c:ptCount val="1"/>
                <c:pt idx="0">
                  <c:v>Swap Zins-Sensitivität EUR/+1BP
[kumuliert]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'Exkurs Dynamiken Zins-Sensi'!$D$69:$D$79</c:f>
              <c:numCache>
                <c:formatCode>0%</c:formatCode>
                <c:ptCount val="11"/>
                <c:pt idx="0">
                  <c:v>-0.05</c:v>
                </c:pt>
                <c:pt idx="1">
                  <c:v>-0.04</c:v>
                </c:pt>
                <c:pt idx="2">
                  <c:v>-0.03</c:v>
                </c:pt>
                <c:pt idx="3">
                  <c:v>-0.02</c:v>
                </c:pt>
                <c:pt idx="4">
                  <c:v>-0.01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0.05</c:v>
                </c:pt>
              </c:numCache>
            </c:numRef>
          </c:xVal>
          <c:yVal>
            <c:numRef>
              <c:f>'Exkurs Dynamiken Zins-Sensi'!$K$69:$K$79</c:f>
              <c:numCache>
                <c:formatCode>0.00</c:formatCode>
                <c:ptCount val="11"/>
                <c:pt idx="0">
                  <c:v>20.633101208077278</c:v>
                </c:pt>
                <c:pt idx="1">
                  <c:v>20.045921775235911</c:v>
                </c:pt>
                <c:pt idx="2">
                  <c:v>19.480965199414641</c:v>
                </c:pt>
                <c:pt idx="3">
                  <c:v>18.93718705176434</c:v>
                </c:pt>
                <c:pt idx="4">
                  <c:v>18.41360134423303</c:v>
                </c:pt>
                <c:pt idx="5">
                  <c:v>17.909276745922398</c:v>
                </c:pt>
                <c:pt idx="6">
                  <c:v>17.423333077778807</c:v>
                </c:pt>
                <c:pt idx="7">
                  <c:v>16.954938061651774</c:v>
                </c:pt>
                <c:pt idx="8">
                  <c:v>16.503304303681944</c:v>
                </c:pt>
                <c:pt idx="9">
                  <c:v>16.067686492984649</c:v>
                </c:pt>
                <c:pt idx="10">
                  <c:v>15.647378797846613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F9-4124-B0D9-AA74467AB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428184"/>
        <c:axId val="689432448"/>
      </c:scatterChart>
      <c:valAx>
        <c:axId val="661450424"/>
        <c:scaling>
          <c:orientation val="minMax"/>
          <c:max val="5.000000000000001E-2"/>
          <c:min val="-5.000000000000001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451080"/>
        <c:crossesAt val="0"/>
        <c:crossBetween val="midCat"/>
      </c:valAx>
      <c:valAx>
        <c:axId val="661451080"/>
        <c:scaling>
          <c:orientation val="minMax"/>
          <c:max val="120000"/>
          <c:min val="-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450424"/>
        <c:crossesAt val="-5.000000000000001E-2"/>
        <c:crossBetween val="midCat"/>
        <c:majorUnit val="2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valAx>
        <c:axId val="68943244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9428184"/>
        <c:crosses val="max"/>
        <c:crossBetween val="midCat"/>
      </c:valAx>
      <c:valAx>
        <c:axId val="68942818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68943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0610716239241024E-2"/>
          <c:y val="0.29529351513987584"/>
          <c:w val="0.32943716088347913"/>
          <c:h val="0.535781320017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10</xdr:row>
      <xdr:rowOff>28574</xdr:rowOff>
    </xdr:from>
    <xdr:to>
      <xdr:col>5</xdr:col>
      <xdr:colOff>657225</xdr:colOff>
      <xdr:row>11</xdr:row>
      <xdr:rowOff>133349</xdr:rowOff>
    </xdr:to>
    <xdr:sp macro="" textlink="">
      <xdr:nvSpPr>
        <xdr:cNvPr id="2" name="Geschweifte Klammer link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6200000">
          <a:off x="4743450" y="-28576"/>
          <a:ext cx="295275" cy="3076575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676277</xdr:colOff>
      <xdr:row>10</xdr:row>
      <xdr:rowOff>38098</xdr:rowOff>
    </xdr:from>
    <xdr:to>
      <xdr:col>8</xdr:col>
      <xdr:colOff>742950</xdr:colOff>
      <xdr:row>11</xdr:row>
      <xdr:rowOff>114299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6200000">
          <a:off x="7491413" y="719137"/>
          <a:ext cx="266701" cy="2352673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466725</xdr:colOff>
      <xdr:row>48</xdr:row>
      <xdr:rowOff>28574</xdr:rowOff>
    </xdr:from>
    <xdr:to>
      <xdr:col>5</xdr:col>
      <xdr:colOff>638175</xdr:colOff>
      <xdr:row>49</xdr:row>
      <xdr:rowOff>133349</xdr:rowOff>
    </xdr:to>
    <xdr:sp macro="" textlink="">
      <xdr:nvSpPr>
        <xdr:cNvPr id="4" name="Geschweifte Klammer link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6200000">
          <a:off x="4724400" y="6286499"/>
          <a:ext cx="295275" cy="3076575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638176</xdr:colOff>
      <xdr:row>48</xdr:row>
      <xdr:rowOff>38098</xdr:rowOff>
    </xdr:from>
    <xdr:to>
      <xdr:col>9</xdr:col>
      <xdr:colOff>47626</xdr:colOff>
      <xdr:row>49</xdr:row>
      <xdr:rowOff>142873</xdr:rowOff>
    </xdr:to>
    <xdr:sp macro="" textlink="">
      <xdr:nvSpPr>
        <xdr:cNvPr id="5" name="Geschweifte Klammer link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6200000">
          <a:off x="7491413" y="6605586"/>
          <a:ext cx="295275" cy="245745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38100</xdr:colOff>
      <xdr:row>18</xdr:row>
      <xdr:rowOff>133350</xdr:rowOff>
    </xdr:from>
    <xdr:to>
      <xdr:col>6</xdr:col>
      <xdr:colOff>247651</xdr:colOff>
      <xdr:row>18</xdr:row>
      <xdr:rowOff>142603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5810250" y="3381375"/>
          <a:ext cx="971551" cy="92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14</xdr:row>
      <xdr:rowOff>180975</xdr:rowOff>
    </xdr:from>
    <xdr:to>
      <xdr:col>6</xdr:col>
      <xdr:colOff>485775</xdr:colOff>
      <xdr:row>17</xdr:row>
      <xdr:rowOff>19050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 flipV="1">
          <a:off x="6610350" y="2276475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14</xdr:row>
      <xdr:rowOff>180976</xdr:rowOff>
    </xdr:from>
    <xdr:to>
      <xdr:col>8</xdr:col>
      <xdr:colOff>295275</xdr:colOff>
      <xdr:row>17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7953375" y="2667001"/>
          <a:ext cx="400050" cy="409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52</xdr:row>
      <xdr:rowOff>180975</xdr:rowOff>
    </xdr:from>
    <xdr:to>
      <xdr:col>6</xdr:col>
      <xdr:colOff>485775</xdr:colOff>
      <xdr:row>55</xdr:row>
      <xdr:rowOff>19050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 flipV="1">
          <a:off x="6610350" y="6296025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6</xdr:row>
      <xdr:rowOff>85725</xdr:rowOff>
    </xdr:from>
    <xdr:to>
      <xdr:col>1</xdr:col>
      <xdr:colOff>1552575</xdr:colOff>
      <xdr:row>17</xdr:row>
      <xdr:rowOff>76200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2676525" y="1047750"/>
          <a:ext cx="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6</xdr:row>
      <xdr:rowOff>104775</xdr:rowOff>
    </xdr:from>
    <xdr:to>
      <xdr:col>2</xdr:col>
      <xdr:colOff>419100</xdr:colOff>
      <xdr:row>6</xdr:row>
      <xdr:rowOff>104775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2667000" y="106680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7</xdr:row>
      <xdr:rowOff>114300</xdr:rowOff>
    </xdr:from>
    <xdr:to>
      <xdr:col>2</xdr:col>
      <xdr:colOff>419100</xdr:colOff>
      <xdr:row>7</xdr:row>
      <xdr:rowOff>114300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2676525" y="12668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8</xdr:row>
      <xdr:rowOff>114300</xdr:rowOff>
    </xdr:from>
    <xdr:to>
      <xdr:col>2</xdr:col>
      <xdr:colOff>419100</xdr:colOff>
      <xdr:row>8</xdr:row>
      <xdr:rowOff>114300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2676525" y="14573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15</xdr:row>
      <xdr:rowOff>76200</xdr:rowOff>
    </xdr:from>
    <xdr:to>
      <xdr:col>2</xdr:col>
      <xdr:colOff>409575</xdr:colOff>
      <xdr:row>15</xdr:row>
      <xdr:rowOff>76200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2657475" y="2752725"/>
          <a:ext cx="619125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16</xdr:row>
      <xdr:rowOff>85725</xdr:rowOff>
    </xdr:from>
    <xdr:to>
      <xdr:col>2</xdr:col>
      <xdr:colOff>409575</xdr:colOff>
      <xdr:row>16</xdr:row>
      <xdr:rowOff>85725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2667000" y="295275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17</xdr:row>
      <xdr:rowOff>85725</xdr:rowOff>
    </xdr:from>
    <xdr:to>
      <xdr:col>2</xdr:col>
      <xdr:colOff>409575</xdr:colOff>
      <xdr:row>17</xdr:row>
      <xdr:rowOff>85725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2667000" y="314325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56</xdr:row>
      <xdr:rowOff>133350</xdr:rowOff>
    </xdr:from>
    <xdr:to>
      <xdr:col>6</xdr:col>
      <xdr:colOff>247651</xdr:colOff>
      <xdr:row>56</xdr:row>
      <xdr:rowOff>142603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flipH="1">
          <a:off x="5810250" y="3381375"/>
          <a:ext cx="971551" cy="92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52</xdr:row>
      <xdr:rowOff>180975</xdr:rowOff>
    </xdr:from>
    <xdr:to>
      <xdr:col>6</xdr:col>
      <xdr:colOff>485775</xdr:colOff>
      <xdr:row>55</xdr:row>
      <xdr:rowOff>19050</xdr:rowOff>
    </xdr:to>
    <xdr:cxnSp macro="">
      <xdr:nvCxnSpPr>
        <xdr:cNvPr id="26" name="Gerade Verbindung mit Pfei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flipH="1" flipV="1">
          <a:off x="6610350" y="2667000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52</xdr:row>
      <xdr:rowOff>180976</xdr:rowOff>
    </xdr:from>
    <xdr:to>
      <xdr:col>8</xdr:col>
      <xdr:colOff>295275</xdr:colOff>
      <xdr:row>55</xdr:row>
      <xdr:rowOff>19050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 flipV="1">
          <a:off x="7953375" y="2667001"/>
          <a:ext cx="400050" cy="409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44</xdr:row>
      <xdr:rowOff>57150</xdr:rowOff>
    </xdr:from>
    <xdr:to>
      <xdr:col>1</xdr:col>
      <xdr:colOff>1543050</xdr:colOff>
      <xdr:row>55</xdr:row>
      <xdr:rowOff>47625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2667000" y="6943725"/>
          <a:ext cx="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44</xdr:row>
      <xdr:rowOff>76200</xdr:rowOff>
    </xdr:from>
    <xdr:to>
      <xdr:col>2</xdr:col>
      <xdr:colOff>409575</xdr:colOff>
      <xdr:row>44</xdr:row>
      <xdr:rowOff>76200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2657475" y="6962775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45</xdr:row>
      <xdr:rowOff>85725</xdr:rowOff>
    </xdr:from>
    <xdr:to>
      <xdr:col>2</xdr:col>
      <xdr:colOff>409575</xdr:colOff>
      <xdr:row>45</xdr:row>
      <xdr:rowOff>85725</xdr:rowOff>
    </xdr:to>
    <xdr:cxnSp macro="">
      <xdr:nvCxnSpPr>
        <xdr:cNvPr id="28" name="Gerader Verbinder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2667000" y="7162800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46</xdr:row>
      <xdr:rowOff>85725</xdr:rowOff>
    </xdr:from>
    <xdr:to>
      <xdr:col>2</xdr:col>
      <xdr:colOff>409575</xdr:colOff>
      <xdr:row>46</xdr:row>
      <xdr:rowOff>85725</xdr:rowOff>
    </xdr:to>
    <xdr:cxnSp macro="">
      <xdr:nvCxnSpPr>
        <xdr:cNvPr id="29" name="Gerader Verbinder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2667000" y="7353300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1524000</xdr:colOff>
      <xdr:row>53</xdr:row>
      <xdr:rowOff>47625</xdr:rowOff>
    </xdr:from>
    <xdr:to>
      <xdr:col>2</xdr:col>
      <xdr:colOff>400050</xdr:colOff>
      <xdr:row>53</xdr:row>
      <xdr:rowOff>47625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2647950" y="8648700"/>
          <a:ext cx="619125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54</xdr:row>
      <xdr:rowOff>57150</xdr:rowOff>
    </xdr:from>
    <xdr:to>
      <xdr:col>2</xdr:col>
      <xdr:colOff>400050</xdr:colOff>
      <xdr:row>54</xdr:row>
      <xdr:rowOff>57150</xdr:rowOff>
    </xdr:to>
    <xdr:cxnSp macro="">
      <xdr:nvCxnSpPr>
        <xdr:cNvPr id="31" name="Gerader Verbinder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2657475" y="8848725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55</xdr:row>
      <xdr:rowOff>57150</xdr:rowOff>
    </xdr:from>
    <xdr:to>
      <xdr:col>2</xdr:col>
      <xdr:colOff>400050</xdr:colOff>
      <xdr:row>55</xdr:row>
      <xdr:rowOff>57150</xdr:rowOff>
    </xdr:to>
    <xdr:cxnSp macro="">
      <xdr:nvCxnSpPr>
        <xdr:cNvPr id="32" name="Gerader Verbinder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2657475" y="9039225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6</xdr:row>
      <xdr:rowOff>104775</xdr:rowOff>
    </xdr:from>
    <xdr:to>
      <xdr:col>2</xdr:col>
      <xdr:colOff>419100</xdr:colOff>
      <xdr:row>6</xdr:row>
      <xdr:rowOff>104775</xdr:rowOff>
    </xdr:to>
    <xdr:cxnSp macro="">
      <xdr:nvCxnSpPr>
        <xdr:cNvPr id="33" name="Gerader Verbinder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>
          <a:off x="2667000" y="106680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7</xdr:row>
      <xdr:rowOff>114300</xdr:rowOff>
    </xdr:from>
    <xdr:to>
      <xdr:col>2</xdr:col>
      <xdr:colOff>419100</xdr:colOff>
      <xdr:row>7</xdr:row>
      <xdr:rowOff>114300</xdr:rowOff>
    </xdr:to>
    <xdr:cxnSp macro="">
      <xdr:nvCxnSpPr>
        <xdr:cNvPr id="34" name="Gerader Verbinder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2676525" y="12668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8</xdr:row>
      <xdr:rowOff>114300</xdr:rowOff>
    </xdr:from>
    <xdr:to>
      <xdr:col>2</xdr:col>
      <xdr:colOff>419100</xdr:colOff>
      <xdr:row>8</xdr:row>
      <xdr:rowOff>114300</xdr:rowOff>
    </xdr:to>
    <xdr:cxnSp macro="">
      <xdr:nvCxnSpPr>
        <xdr:cNvPr id="35" name="Gerader Verbinder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2676525" y="14573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6</xdr:row>
      <xdr:rowOff>85724</xdr:rowOff>
    </xdr:from>
    <xdr:to>
      <xdr:col>5</xdr:col>
      <xdr:colOff>657225</xdr:colOff>
      <xdr:row>7</xdr:row>
      <xdr:rowOff>190499</xdr:rowOff>
    </xdr:to>
    <xdr:sp macro="" textlink="">
      <xdr:nvSpPr>
        <xdr:cNvPr id="2" name="Geschweifte Klammer link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 rot="16200000">
          <a:off x="4950142" y="-515303"/>
          <a:ext cx="280035" cy="331089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571501</xdr:colOff>
      <xdr:row>6</xdr:row>
      <xdr:rowOff>95248</xdr:rowOff>
    </xdr:from>
    <xdr:to>
      <xdr:col>8</xdr:col>
      <xdr:colOff>742951</xdr:colOff>
      <xdr:row>8</xdr:row>
      <xdr:rowOff>9523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rot="16200000">
          <a:off x="7977188" y="-307659"/>
          <a:ext cx="280035" cy="291465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485775</xdr:colOff>
      <xdr:row>27</xdr:row>
      <xdr:rowOff>104774</xdr:rowOff>
    </xdr:from>
    <xdr:to>
      <xdr:col>5</xdr:col>
      <xdr:colOff>657225</xdr:colOff>
      <xdr:row>29</xdr:row>
      <xdr:rowOff>19049</xdr:rowOff>
    </xdr:to>
    <xdr:sp macro="" textlink="">
      <xdr:nvSpPr>
        <xdr:cNvPr id="4" name="Geschweifte Klammer links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6200000">
          <a:off x="4950142" y="3367087"/>
          <a:ext cx="280035" cy="331089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571501</xdr:colOff>
      <xdr:row>27</xdr:row>
      <xdr:rowOff>114298</xdr:rowOff>
    </xdr:from>
    <xdr:to>
      <xdr:col>8</xdr:col>
      <xdr:colOff>742951</xdr:colOff>
      <xdr:row>29</xdr:row>
      <xdr:rowOff>28573</xdr:rowOff>
    </xdr:to>
    <xdr:sp macro="" textlink="">
      <xdr:nvSpPr>
        <xdr:cNvPr id="5" name="Geschweifte Klammer links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rot="16200000">
          <a:off x="7977188" y="3574731"/>
          <a:ext cx="280035" cy="291465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6</xdr:row>
      <xdr:rowOff>123824</xdr:rowOff>
    </xdr:from>
    <xdr:to>
      <xdr:col>5</xdr:col>
      <xdr:colOff>657225</xdr:colOff>
      <xdr:row>8</xdr:row>
      <xdr:rowOff>38099</xdr:rowOff>
    </xdr:to>
    <xdr:sp macro="" textlink="">
      <xdr:nvSpPr>
        <xdr:cNvPr id="2" name="Geschweifte Klammer link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 rot="16200000">
          <a:off x="5030152" y="-557213"/>
          <a:ext cx="280035" cy="3470910"/>
        </a:xfrm>
        <a:prstGeom prst="leftBrace">
          <a:avLst>
            <a:gd name="adj1" fmla="val 8333"/>
            <a:gd name="adj2" fmla="val 9013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571501</xdr:colOff>
      <xdr:row>6</xdr:row>
      <xdr:rowOff>133348</xdr:rowOff>
    </xdr:from>
    <xdr:to>
      <xdr:col>8</xdr:col>
      <xdr:colOff>742951</xdr:colOff>
      <xdr:row>8</xdr:row>
      <xdr:rowOff>47623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rot="16200000">
          <a:off x="8099108" y="-231459"/>
          <a:ext cx="280035" cy="2838450"/>
        </a:xfrm>
        <a:prstGeom prst="leftBrace">
          <a:avLst>
            <a:gd name="adj1" fmla="val 8333"/>
            <a:gd name="adj2" fmla="val 8208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485775</xdr:colOff>
      <xdr:row>27</xdr:row>
      <xdr:rowOff>123824</xdr:rowOff>
    </xdr:from>
    <xdr:to>
      <xdr:col>5</xdr:col>
      <xdr:colOff>657225</xdr:colOff>
      <xdr:row>29</xdr:row>
      <xdr:rowOff>38099</xdr:rowOff>
    </xdr:to>
    <xdr:sp macro="" textlink="">
      <xdr:nvSpPr>
        <xdr:cNvPr id="4" name="Geschweifte Klammer links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rot="16200000">
          <a:off x="5030152" y="3306127"/>
          <a:ext cx="280035" cy="347091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571501</xdr:colOff>
      <xdr:row>27</xdr:row>
      <xdr:rowOff>133348</xdr:rowOff>
    </xdr:from>
    <xdr:to>
      <xdr:col>8</xdr:col>
      <xdr:colOff>742951</xdr:colOff>
      <xdr:row>29</xdr:row>
      <xdr:rowOff>47623</xdr:rowOff>
    </xdr:to>
    <xdr:sp macro="" textlink="">
      <xdr:nvSpPr>
        <xdr:cNvPr id="5" name="Geschweifte Klammer links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 rot="16200000">
          <a:off x="8099108" y="3631881"/>
          <a:ext cx="280035" cy="283845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10</xdr:row>
      <xdr:rowOff>28574</xdr:rowOff>
    </xdr:from>
    <xdr:to>
      <xdr:col>5</xdr:col>
      <xdr:colOff>657225</xdr:colOff>
      <xdr:row>11</xdr:row>
      <xdr:rowOff>133349</xdr:rowOff>
    </xdr:to>
    <xdr:sp macro="" textlink="">
      <xdr:nvSpPr>
        <xdr:cNvPr id="2" name="Geschweifte Klammer link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6200000">
          <a:off x="4743450" y="361949"/>
          <a:ext cx="295275" cy="3076575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676277</xdr:colOff>
      <xdr:row>10</xdr:row>
      <xdr:rowOff>38098</xdr:rowOff>
    </xdr:from>
    <xdr:to>
      <xdr:col>8</xdr:col>
      <xdr:colOff>742950</xdr:colOff>
      <xdr:row>11</xdr:row>
      <xdr:rowOff>114299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16200000">
          <a:off x="7491413" y="719137"/>
          <a:ext cx="266701" cy="2352673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466725</xdr:colOff>
      <xdr:row>48</xdr:row>
      <xdr:rowOff>28574</xdr:rowOff>
    </xdr:from>
    <xdr:to>
      <xdr:col>5</xdr:col>
      <xdr:colOff>638175</xdr:colOff>
      <xdr:row>49</xdr:row>
      <xdr:rowOff>133349</xdr:rowOff>
    </xdr:to>
    <xdr:sp macro="" textlink="">
      <xdr:nvSpPr>
        <xdr:cNvPr id="4" name="Geschweifte Klammer link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6200000">
          <a:off x="4724400" y="6286499"/>
          <a:ext cx="295275" cy="3076575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638176</xdr:colOff>
      <xdr:row>48</xdr:row>
      <xdr:rowOff>38098</xdr:rowOff>
    </xdr:from>
    <xdr:to>
      <xdr:col>9</xdr:col>
      <xdr:colOff>47626</xdr:colOff>
      <xdr:row>49</xdr:row>
      <xdr:rowOff>142873</xdr:rowOff>
    </xdr:to>
    <xdr:sp macro="" textlink="">
      <xdr:nvSpPr>
        <xdr:cNvPr id="5" name="Geschweifte Klammer links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6200000">
          <a:off x="7491413" y="6605586"/>
          <a:ext cx="295275" cy="245745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38100</xdr:colOff>
      <xdr:row>18</xdr:row>
      <xdr:rowOff>133350</xdr:rowOff>
    </xdr:from>
    <xdr:to>
      <xdr:col>6</xdr:col>
      <xdr:colOff>247651</xdr:colOff>
      <xdr:row>18</xdr:row>
      <xdr:rowOff>142603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>
          <a:off x="5810250" y="3381375"/>
          <a:ext cx="971551" cy="92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14</xdr:row>
      <xdr:rowOff>180975</xdr:rowOff>
    </xdr:from>
    <xdr:to>
      <xdr:col>6</xdr:col>
      <xdr:colOff>485775</xdr:colOff>
      <xdr:row>17</xdr:row>
      <xdr:rowOff>19050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 flipV="1">
          <a:off x="6610350" y="2667000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14</xdr:row>
      <xdr:rowOff>180976</xdr:rowOff>
    </xdr:from>
    <xdr:to>
      <xdr:col>8</xdr:col>
      <xdr:colOff>295275</xdr:colOff>
      <xdr:row>17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7953375" y="2667001"/>
          <a:ext cx="400050" cy="409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52</xdr:row>
      <xdr:rowOff>180975</xdr:rowOff>
    </xdr:from>
    <xdr:to>
      <xdr:col>6</xdr:col>
      <xdr:colOff>485775</xdr:colOff>
      <xdr:row>55</xdr:row>
      <xdr:rowOff>19050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H="1" flipV="1">
          <a:off x="6610350" y="8591550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6</xdr:row>
      <xdr:rowOff>85725</xdr:rowOff>
    </xdr:from>
    <xdr:to>
      <xdr:col>1</xdr:col>
      <xdr:colOff>1552575</xdr:colOff>
      <xdr:row>17</xdr:row>
      <xdr:rowOff>76200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2676525" y="1047750"/>
          <a:ext cx="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6</xdr:row>
      <xdr:rowOff>104775</xdr:rowOff>
    </xdr:from>
    <xdr:to>
      <xdr:col>2</xdr:col>
      <xdr:colOff>419100</xdr:colOff>
      <xdr:row>6</xdr:row>
      <xdr:rowOff>104775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2667000" y="106680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7</xdr:row>
      <xdr:rowOff>114300</xdr:rowOff>
    </xdr:from>
    <xdr:to>
      <xdr:col>2</xdr:col>
      <xdr:colOff>419100</xdr:colOff>
      <xdr:row>7</xdr:row>
      <xdr:rowOff>114300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2676525" y="12668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8</xdr:row>
      <xdr:rowOff>114300</xdr:rowOff>
    </xdr:from>
    <xdr:to>
      <xdr:col>2</xdr:col>
      <xdr:colOff>419100</xdr:colOff>
      <xdr:row>8</xdr:row>
      <xdr:rowOff>114300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2676525" y="14573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15</xdr:row>
      <xdr:rowOff>76200</xdr:rowOff>
    </xdr:from>
    <xdr:to>
      <xdr:col>2</xdr:col>
      <xdr:colOff>409575</xdr:colOff>
      <xdr:row>15</xdr:row>
      <xdr:rowOff>76200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2657475" y="2752725"/>
          <a:ext cx="619125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16</xdr:row>
      <xdr:rowOff>85725</xdr:rowOff>
    </xdr:from>
    <xdr:to>
      <xdr:col>2</xdr:col>
      <xdr:colOff>409575</xdr:colOff>
      <xdr:row>16</xdr:row>
      <xdr:rowOff>85725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2667000" y="295275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17</xdr:row>
      <xdr:rowOff>85725</xdr:rowOff>
    </xdr:from>
    <xdr:to>
      <xdr:col>2</xdr:col>
      <xdr:colOff>409575</xdr:colOff>
      <xdr:row>17</xdr:row>
      <xdr:rowOff>85725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2667000" y="314325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56</xdr:row>
      <xdr:rowOff>133350</xdr:rowOff>
    </xdr:from>
    <xdr:to>
      <xdr:col>6</xdr:col>
      <xdr:colOff>247651</xdr:colOff>
      <xdr:row>56</xdr:row>
      <xdr:rowOff>142603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5810250" y="9305925"/>
          <a:ext cx="971551" cy="92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52</xdr:row>
      <xdr:rowOff>180975</xdr:rowOff>
    </xdr:from>
    <xdr:to>
      <xdr:col>6</xdr:col>
      <xdr:colOff>485775</xdr:colOff>
      <xdr:row>55</xdr:row>
      <xdr:rowOff>19050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 flipV="1">
          <a:off x="6610350" y="8591550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52</xdr:row>
      <xdr:rowOff>180976</xdr:rowOff>
    </xdr:from>
    <xdr:to>
      <xdr:col>8</xdr:col>
      <xdr:colOff>295275</xdr:colOff>
      <xdr:row>55</xdr:row>
      <xdr:rowOff>19050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7953375" y="8591551"/>
          <a:ext cx="400050" cy="409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44</xdr:row>
      <xdr:rowOff>57150</xdr:rowOff>
    </xdr:from>
    <xdr:to>
      <xdr:col>1</xdr:col>
      <xdr:colOff>1543050</xdr:colOff>
      <xdr:row>55</xdr:row>
      <xdr:rowOff>47625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2667000" y="6943725"/>
          <a:ext cx="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44</xdr:row>
      <xdr:rowOff>76200</xdr:rowOff>
    </xdr:from>
    <xdr:to>
      <xdr:col>2</xdr:col>
      <xdr:colOff>409575</xdr:colOff>
      <xdr:row>44</xdr:row>
      <xdr:rowOff>76200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2657475" y="6962775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45</xdr:row>
      <xdr:rowOff>85725</xdr:rowOff>
    </xdr:from>
    <xdr:to>
      <xdr:col>2</xdr:col>
      <xdr:colOff>409575</xdr:colOff>
      <xdr:row>45</xdr:row>
      <xdr:rowOff>85725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2667000" y="7162800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46</xdr:row>
      <xdr:rowOff>85725</xdr:rowOff>
    </xdr:from>
    <xdr:to>
      <xdr:col>2</xdr:col>
      <xdr:colOff>409575</xdr:colOff>
      <xdr:row>46</xdr:row>
      <xdr:rowOff>85725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2667000" y="7353300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1524000</xdr:colOff>
      <xdr:row>53</xdr:row>
      <xdr:rowOff>47625</xdr:rowOff>
    </xdr:from>
    <xdr:to>
      <xdr:col>2</xdr:col>
      <xdr:colOff>400050</xdr:colOff>
      <xdr:row>53</xdr:row>
      <xdr:rowOff>47625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2647950" y="8648700"/>
          <a:ext cx="619125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54</xdr:row>
      <xdr:rowOff>57150</xdr:rowOff>
    </xdr:from>
    <xdr:to>
      <xdr:col>2</xdr:col>
      <xdr:colOff>400050</xdr:colOff>
      <xdr:row>54</xdr:row>
      <xdr:rowOff>57150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2657475" y="8848725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55</xdr:row>
      <xdr:rowOff>57150</xdr:rowOff>
    </xdr:from>
    <xdr:to>
      <xdr:col>2</xdr:col>
      <xdr:colOff>400050</xdr:colOff>
      <xdr:row>55</xdr:row>
      <xdr:rowOff>57150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2657475" y="9039225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46</xdr:row>
      <xdr:rowOff>85725</xdr:rowOff>
    </xdr:from>
    <xdr:to>
      <xdr:col>2</xdr:col>
      <xdr:colOff>409575</xdr:colOff>
      <xdr:row>46</xdr:row>
      <xdr:rowOff>85725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2667000" y="7353300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190501</xdr:colOff>
      <xdr:row>9</xdr:row>
      <xdr:rowOff>19050</xdr:rowOff>
    </xdr:from>
    <xdr:to>
      <xdr:col>9</xdr:col>
      <xdr:colOff>123826</xdr:colOff>
      <xdr:row>10</xdr:row>
      <xdr:rowOff>9525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3057526" y="1552575"/>
          <a:ext cx="5886450" cy="180975"/>
        </a:xfrm>
        <a:prstGeom prst="rect">
          <a:avLst/>
        </a:prstGeom>
        <a:noFill/>
        <a:ln w="12700"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1095376</xdr:colOff>
      <xdr:row>9</xdr:row>
      <xdr:rowOff>109537</xdr:rowOff>
    </xdr:from>
    <xdr:to>
      <xdr:col>2</xdr:col>
      <xdr:colOff>190502</xdr:colOff>
      <xdr:row>17</xdr:row>
      <xdr:rowOff>161924</xdr:rowOff>
    </xdr:to>
    <xdr:cxnSp macro="">
      <xdr:nvCxnSpPr>
        <xdr:cNvPr id="30" name="Verbinder: gewinkelt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>
          <a:stCxn id="28" idx="1"/>
        </xdr:cNvCxnSpPr>
      </xdr:nvCxnSpPr>
      <xdr:spPr>
        <a:xfrm rot="10800000" flipV="1">
          <a:off x="2219326" y="1643062"/>
          <a:ext cx="838201" cy="1576387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10</xdr:row>
      <xdr:rowOff>28574</xdr:rowOff>
    </xdr:from>
    <xdr:to>
      <xdr:col>5</xdr:col>
      <xdr:colOff>657225</xdr:colOff>
      <xdr:row>11</xdr:row>
      <xdr:rowOff>114300</xdr:rowOff>
    </xdr:to>
    <xdr:sp macro="" textlink="">
      <xdr:nvSpPr>
        <xdr:cNvPr id="2" name="Geschweifte Klammer link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6200000">
          <a:off x="4995862" y="595312"/>
          <a:ext cx="276226" cy="259080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676277</xdr:colOff>
      <xdr:row>10</xdr:row>
      <xdr:rowOff>38098</xdr:rowOff>
    </xdr:from>
    <xdr:to>
      <xdr:col>8</xdr:col>
      <xdr:colOff>742950</xdr:colOff>
      <xdr:row>11</xdr:row>
      <xdr:rowOff>114299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6200000">
          <a:off x="7758113" y="847195"/>
          <a:ext cx="262468" cy="2454273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466725</xdr:colOff>
      <xdr:row>50</xdr:row>
      <xdr:rowOff>28574</xdr:rowOff>
    </xdr:from>
    <xdr:to>
      <xdr:col>5</xdr:col>
      <xdr:colOff>638175</xdr:colOff>
      <xdr:row>51</xdr:row>
      <xdr:rowOff>133349</xdr:rowOff>
    </xdr:to>
    <xdr:sp macro="" textlink="">
      <xdr:nvSpPr>
        <xdr:cNvPr id="4" name="Geschweifte Klammer links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6200000">
          <a:off x="4724400" y="7648574"/>
          <a:ext cx="295275" cy="3076575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638176</xdr:colOff>
      <xdr:row>50</xdr:row>
      <xdr:rowOff>38098</xdr:rowOff>
    </xdr:from>
    <xdr:to>
      <xdr:col>9</xdr:col>
      <xdr:colOff>47626</xdr:colOff>
      <xdr:row>51</xdr:row>
      <xdr:rowOff>142873</xdr:rowOff>
    </xdr:to>
    <xdr:sp macro="" textlink="">
      <xdr:nvSpPr>
        <xdr:cNvPr id="5" name="Geschweifte Klammer links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rot="16200000">
          <a:off x="7491413" y="7967661"/>
          <a:ext cx="295275" cy="2457450"/>
        </a:xfrm>
        <a:prstGeom prst="leftBrace">
          <a:avLst>
            <a:gd name="adj1" fmla="val 8333"/>
            <a:gd name="adj2" fmla="val 876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38100</xdr:colOff>
      <xdr:row>18</xdr:row>
      <xdr:rowOff>133350</xdr:rowOff>
    </xdr:from>
    <xdr:to>
      <xdr:col>6</xdr:col>
      <xdr:colOff>247651</xdr:colOff>
      <xdr:row>18</xdr:row>
      <xdr:rowOff>142603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H="1">
          <a:off x="5810250" y="3381375"/>
          <a:ext cx="971551" cy="92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14</xdr:row>
      <xdr:rowOff>180975</xdr:rowOff>
    </xdr:from>
    <xdr:to>
      <xdr:col>6</xdr:col>
      <xdr:colOff>485775</xdr:colOff>
      <xdr:row>17</xdr:row>
      <xdr:rowOff>19050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H="1" flipV="1">
          <a:off x="6610350" y="2667000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14</xdr:row>
      <xdr:rowOff>180976</xdr:rowOff>
    </xdr:from>
    <xdr:to>
      <xdr:col>8</xdr:col>
      <xdr:colOff>295275</xdr:colOff>
      <xdr:row>17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V="1">
          <a:off x="7953375" y="2667001"/>
          <a:ext cx="400050" cy="409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54</xdr:row>
      <xdr:rowOff>180975</xdr:rowOff>
    </xdr:from>
    <xdr:to>
      <xdr:col>6</xdr:col>
      <xdr:colOff>485775</xdr:colOff>
      <xdr:row>57</xdr:row>
      <xdr:rowOff>19050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H="1" flipV="1">
          <a:off x="6610350" y="9953625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6</xdr:row>
      <xdr:rowOff>85725</xdr:rowOff>
    </xdr:from>
    <xdr:to>
      <xdr:col>1</xdr:col>
      <xdr:colOff>1552575</xdr:colOff>
      <xdr:row>17</xdr:row>
      <xdr:rowOff>76200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676525" y="1047750"/>
          <a:ext cx="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6</xdr:row>
      <xdr:rowOff>104775</xdr:rowOff>
    </xdr:from>
    <xdr:to>
      <xdr:col>2</xdr:col>
      <xdr:colOff>419100</xdr:colOff>
      <xdr:row>6</xdr:row>
      <xdr:rowOff>104775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667000" y="106680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7</xdr:row>
      <xdr:rowOff>114300</xdr:rowOff>
    </xdr:from>
    <xdr:to>
      <xdr:col>2</xdr:col>
      <xdr:colOff>419100</xdr:colOff>
      <xdr:row>7</xdr:row>
      <xdr:rowOff>114300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2676525" y="12668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1552575</xdr:colOff>
      <xdr:row>8</xdr:row>
      <xdr:rowOff>114300</xdr:rowOff>
    </xdr:from>
    <xdr:to>
      <xdr:col>2</xdr:col>
      <xdr:colOff>419100</xdr:colOff>
      <xdr:row>8</xdr:row>
      <xdr:rowOff>114300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2676525" y="145732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15</xdr:row>
      <xdr:rowOff>76200</xdr:rowOff>
    </xdr:from>
    <xdr:to>
      <xdr:col>2</xdr:col>
      <xdr:colOff>409575</xdr:colOff>
      <xdr:row>15</xdr:row>
      <xdr:rowOff>76200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2657475" y="2752725"/>
          <a:ext cx="619125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16</xdr:row>
      <xdr:rowOff>85725</xdr:rowOff>
    </xdr:from>
    <xdr:to>
      <xdr:col>2</xdr:col>
      <xdr:colOff>409575</xdr:colOff>
      <xdr:row>16</xdr:row>
      <xdr:rowOff>85725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667000" y="295275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17</xdr:row>
      <xdr:rowOff>85725</xdr:rowOff>
    </xdr:from>
    <xdr:to>
      <xdr:col>2</xdr:col>
      <xdr:colOff>409575</xdr:colOff>
      <xdr:row>17</xdr:row>
      <xdr:rowOff>85725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2667000" y="314325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58</xdr:row>
      <xdr:rowOff>133350</xdr:rowOff>
    </xdr:from>
    <xdr:to>
      <xdr:col>6</xdr:col>
      <xdr:colOff>247651</xdr:colOff>
      <xdr:row>58</xdr:row>
      <xdr:rowOff>142603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 flipH="1">
          <a:off x="5810250" y="10668000"/>
          <a:ext cx="971551" cy="92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54</xdr:row>
      <xdr:rowOff>180975</xdr:rowOff>
    </xdr:from>
    <xdr:to>
      <xdr:col>6</xdr:col>
      <xdr:colOff>485775</xdr:colOff>
      <xdr:row>57</xdr:row>
      <xdr:rowOff>19050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H="1" flipV="1">
          <a:off x="6610350" y="9953625"/>
          <a:ext cx="40957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54</xdr:row>
      <xdr:rowOff>180976</xdr:rowOff>
    </xdr:from>
    <xdr:to>
      <xdr:col>8</xdr:col>
      <xdr:colOff>295275</xdr:colOff>
      <xdr:row>57</xdr:row>
      <xdr:rowOff>19050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 flipV="1">
          <a:off x="7953375" y="9953626"/>
          <a:ext cx="400050" cy="409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46</xdr:row>
      <xdr:rowOff>57150</xdr:rowOff>
    </xdr:from>
    <xdr:to>
      <xdr:col>1</xdr:col>
      <xdr:colOff>1543050</xdr:colOff>
      <xdr:row>57</xdr:row>
      <xdr:rowOff>47625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2667000" y="8305800"/>
          <a:ext cx="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46</xdr:row>
      <xdr:rowOff>76200</xdr:rowOff>
    </xdr:from>
    <xdr:to>
      <xdr:col>2</xdr:col>
      <xdr:colOff>409575</xdr:colOff>
      <xdr:row>46</xdr:row>
      <xdr:rowOff>76200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2657475" y="8324850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47</xdr:row>
      <xdr:rowOff>85725</xdr:rowOff>
    </xdr:from>
    <xdr:to>
      <xdr:col>2</xdr:col>
      <xdr:colOff>409575</xdr:colOff>
      <xdr:row>47</xdr:row>
      <xdr:rowOff>85725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>
        <a:xfrm>
          <a:off x="2667000" y="852487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48</xdr:row>
      <xdr:rowOff>85725</xdr:rowOff>
    </xdr:from>
    <xdr:to>
      <xdr:col>2</xdr:col>
      <xdr:colOff>409575</xdr:colOff>
      <xdr:row>48</xdr:row>
      <xdr:rowOff>85725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2667000" y="871537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1524000</xdr:colOff>
      <xdr:row>55</xdr:row>
      <xdr:rowOff>47625</xdr:rowOff>
    </xdr:from>
    <xdr:to>
      <xdr:col>2</xdr:col>
      <xdr:colOff>400050</xdr:colOff>
      <xdr:row>55</xdr:row>
      <xdr:rowOff>47625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2647950" y="10010775"/>
          <a:ext cx="619125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56</xdr:row>
      <xdr:rowOff>57150</xdr:rowOff>
    </xdr:from>
    <xdr:to>
      <xdr:col>2</xdr:col>
      <xdr:colOff>400050</xdr:colOff>
      <xdr:row>56</xdr:row>
      <xdr:rowOff>57150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2657475" y="1021080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57</xdr:row>
      <xdr:rowOff>57150</xdr:rowOff>
    </xdr:from>
    <xdr:to>
      <xdr:col>2</xdr:col>
      <xdr:colOff>400050</xdr:colOff>
      <xdr:row>57</xdr:row>
      <xdr:rowOff>57150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2657475" y="10401300"/>
          <a:ext cx="609600" cy="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1543050</xdr:colOff>
      <xdr:row>48</xdr:row>
      <xdr:rowOff>85725</xdr:rowOff>
    </xdr:from>
    <xdr:to>
      <xdr:col>2</xdr:col>
      <xdr:colOff>409575</xdr:colOff>
      <xdr:row>48</xdr:row>
      <xdr:rowOff>85725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2667000" y="8715375"/>
          <a:ext cx="609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923925</xdr:colOff>
      <xdr:row>9</xdr:row>
      <xdr:rowOff>19050</xdr:rowOff>
    </xdr:from>
    <xdr:to>
      <xdr:col>9</xdr:col>
      <xdr:colOff>123826</xdr:colOff>
      <xdr:row>10</xdr:row>
      <xdr:rowOff>0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3790950" y="1552575"/>
          <a:ext cx="5153026" cy="171450"/>
        </a:xfrm>
        <a:prstGeom prst="rect">
          <a:avLst/>
        </a:prstGeom>
        <a:noFill/>
        <a:ln w="12700"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923925</xdr:colOff>
      <xdr:row>9</xdr:row>
      <xdr:rowOff>104775</xdr:rowOff>
    </xdr:from>
    <xdr:to>
      <xdr:col>3</xdr:col>
      <xdr:colOff>485775</xdr:colOff>
      <xdr:row>17</xdr:row>
      <xdr:rowOff>142873</xdr:rowOff>
    </xdr:to>
    <xdr:cxnSp macro="">
      <xdr:nvCxnSpPr>
        <xdr:cNvPr id="29" name="Verbinder: gewinkelt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8" idx="1"/>
        </xdr:cNvCxnSpPr>
      </xdr:nvCxnSpPr>
      <xdr:spPr>
        <a:xfrm rot="10800000" flipH="1" flipV="1">
          <a:off x="3790950" y="1638300"/>
          <a:ext cx="857250" cy="1562098"/>
        </a:xfrm>
        <a:prstGeom prst="bentConnector4">
          <a:avLst>
            <a:gd name="adj1" fmla="val -10000"/>
            <a:gd name="adj2" fmla="val 2225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12</xdr:row>
      <xdr:rowOff>19050</xdr:rowOff>
    </xdr:from>
    <xdr:to>
      <xdr:col>9</xdr:col>
      <xdr:colOff>0</xdr:colOff>
      <xdr:row>19</xdr:row>
      <xdr:rowOff>180975</xdr:rowOff>
    </xdr:to>
    <xdr:cxnSp macro="">
      <xdr:nvCxnSpPr>
        <xdr:cNvPr id="40" name="Gerader Verbinder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V="1">
          <a:off x="4171950" y="2124075"/>
          <a:ext cx="4686300" cy="1495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12</xdr:row>
      <xdr:rowOff>19050</xdr:rowOff>
    </xdr:from>
    <xdr:to>
      <xdr:col>8</xdr:col>
      <xdr:colOff>742950</xdr:colOff>
      <xdr:row>19</xdr:row>
      <xdr:rowOff>180976</xdr:rowOff>
    </xdr:to>
    <xdr:cxnSp macro="">
      <xdr:nvCxnSpPr>
        <xdr:cNvPr id="42" name="Gerader Verbinder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/>
      </xdr:nvCxnSpPr>
      <xdr:spPr>
        <a:xfrm flipH="1" flipV="1">
          <a:off x="4181475" y="2124075"/>
          <a:ext cx="4619625" cy="1495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52</xdr:row>
      <xdr:rowOff>38100</xdr:rowOff>
    </xdr:from>
    <xdr:to>
      <xdr:col>8</xdr:col>
      <xdr:colOff>742950</xdr:colOff>
      <xdr:row>60</xdr:row>
      <xdr:rowOff>0</xdr:rowOff>
    </xdr:to>
    <xdr:cxnSp macro="">
      <xdr:nvCxnSpPr>
        <xdr:cNvPr id="47" name="Gerader Verbinder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/>
      </xdr:nvCxnSpPr>
      <xdr:spPr>
        <a:xfrm flipV="1">
          <a:off x="5029200" y="9429750"/>
          <a:ext cx="3771900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52</xdr:row>
      <xdr:rowOff>38100</xdr:rowOff>
    </xdr:from>
    <xdr:to>
      <xdr:col>8</xdr:col>
      <xdr:colOff>752475</xdr:colOff>
      <xdr:row>60</xdr:row>
      <xdr:rowOff>0</xdr:rowOff>
    </xdr:to>
    <xdr:cxnSp macro="">
      <xdr:nvCxnSpPr>
        <xdr:cNvPr id="49" name="Gerader Verbinder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>
        <a:xfrm>
          <a:off x="5038725" y="9429750"/>
          <a:ext cx="3771900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76200</xdr:colOff>
      <xdr:row>121</xdr:row>
      <xdr:rowOff>67734</xdr:rowOff>
    </xdr:from>
    <xdr:to>
      <xdr:col>21</xdr:col>
      <xdr:colOff>2886</xdr:colOff>
      <xdr:row>129</xdr:row>
      <xdr:rowOff>72839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08400" y="22843067"/>
          <a:ext cx="2314286" cy="14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16</xdr:row>
      <xdr:rowOff>85725</xdr:rowOff>
    </xdr:from>
    <xdr:to>
      <xdr:col>12</xdr:col>
      <xdr:colOff>201714</xdr:colOff>
      <xdr:row>30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16</xdr:row>
      <xdr:rowOff>95250</xdr:rowOff>
    </xdr:from>
    <xdr:to>
      <xdr:col>19</xdr:col>
      <xdr:colOff>487050</xdr:colOff>
      <xdr:row>30</xdr:row>
      <xdr:rowOff>171450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657224</xdr:colOff>
      <xdr:row>16</xdr:row>
      <xdr:rowOff>95251</xdr:rowOff>
    </xdr:from>
    <xdr:to>
      <xdr:col>19</xdr:col>
      <xdr:colOff>485775</xdr:colOff>
      <xdr:row>23</xdr:row>
      <xdr:rowOff>57151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11</xdr:col>
      <xdr:colOff>739670</xdr:colOff>
      <xdr:row>47</xdr:row>
      <xdr:rowOff>76200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11</xdr:col>
      <xdr:colOff>739670</xdr:colOff>
      <xdr:row>63</xdr:row>
      <xdr:rowOff>76200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66260</xdr:colOff>
      <xdr:row>66</xdr:row>
      <xdr:rowOff>182217</xdr:rowOff>
    </xdr:from>
    <xdr:to>
      <xdr:col>17</xdr:col>
      <xdr:colOff>534260</xdr:colOff>
      <xdr:row>80</xdr:row>
      <xdr:rowOff>67917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0.48324</cdr:x>
      <cdr:y>0.83782</cdr:y>
    </cdr:from>
    <cdr:to>
      <cdr:x>0.58362</cdr:x>
      <cdr:y>0.95539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6B6414C2-AD69-4200-AEB1-50D72DEBD47C}"/>
            </a:ext>
          </a:extLst>
        </cdr:cNvPr>
        <cdr:cNvSpPr txBox="1"/>
      </cdr:nvSpPr>
      <cdr:spPr>
        <a:xfrm xmlns:a="http://schemas.openxmlformats.org/drawingml/2006/main">
          <a:off x="2435512" y="2240030"/>
          <a:ext cx="505916" cy="314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>
              <a:latin typeface="Times New Roman" panose="02020603050405020304" pitchFamily="18" charset="0"/>
              <a:cs typeface="Times New Roman" panose="02020603050405020304" pitchFamily="18" charset="0"/>
            </a:rPr>
            <a:t>Delta-Zins</a:t>
          </a:r>
        </a:p>
        <a:p xmlns:a="http://schemas.openxmlformats.org/drawingml/2006/main">
          <a:pPr algn="ctr"/>
          <a:r>
            <a:rPr lang="de-DE" sz="900">
              <a:latin typeface="Times New Roman" panose="02020603050405020304" pitchFamily="18" charset="0"/>
              <a:cs typeface="Times New Roman" panose="02020603050405020304" pitchFamily="18" charset="0"/>
            </a:rPr>
            <a:t>0%-Pkt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</cdr:x>
      <cdr:y>0.88724</cdr:y>
    </cdr:from>
    <cdr:to>
      <cdr:x>0.58438</cdr:x>
      <cdr:y>0.99256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4B534137-6725-4D34-88DF-71A11BFB1E1B}"/>
            </a:ext>
          </a:extLst>
        </cdr:cNvPr>
        <cdr:cNvSpPr txBox="1"/>
      </cdr:nvSpPr>
      <cdr:spPr>
        <a:xfrm xmlns:a="http://schemas.openxmlformats.org/drawingml/2006/main">
          <a:off x="2439355" y="2372138"/>
          <a:ext cx="505915" cy="2816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>
              <a:latin typeface="Times New Roman" panose="02020603050405020304" pitchFamily="18" charset="0"/>
              <a:cs typeface="Times New Roman" panose="02020603050405020304" pitchFamily="18" charset="0"/>
            </a:rPr>
            <a:t>Delta-Zins</a:t>
          </a:r>
        </a:p>
        <a:p xmlns:a="http://schemas.openxmlformats.org/drawingml/2006/main">
          <a:pPr algn="ctr"/>
          <a:r>
            <a:rPr lang="de-DE" sz="900">
              <a:latin typeface="Times New Roman" panose="02020603050405020304" pitchFamily="18" charset="0"/>
              <a:cs typeface="Times New Roman" panose="02020603050405020304" pitchFamily="18" charset="0"/>
            </a:rPr>
            <a:t>0%-Pkt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0.48872</cdr:x>
      <cdr:y>0.89247</cdr:y>
    </cdr:from>
    <cdr:to>
      <cdr:x>0.5891</cdr:x>
      <cdr:y>0.99628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FF01A84-8BDE-4988-ABE8-01D732C8F90F}"/>
            </a:ext>
          </a:extLst>
        </cdr:cNvPr>
        <cdr:cNvSpPr txBox="1"/>
      </cdr:nvSpPr>
      <cdr:spPr>
        <a:xfrm xmlns:a="http://schemas.openxmlformats.org/drawingml/2006/main">
          <a:off x="2463152" y="2386144"/>
          <a:ext cx="505915" cy="27754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>
              <a:latin typeface="Times New Roman" panose="02020603050405020304" pitchFamily="18" charset="0"/>
              <a:cs typeface="Times New Roman" panose="02020603050405020304" pitchFamily="18" charset="0"/>
            </a:rPr>
            <a:t>Delta-Zins</a:t>
          </a:r>
        </a:p>
        <a:p xmlns:a="http://schemas.openxmlformats.org/drawingml/2006/main">
          <a:pPr algn="ctr"/>
          <a:r>
            <a:rPr lang="de-DE" sz="900">
              <a:latin typeface="Times New Roman" panose="02020603050405020304" pitchFamily="18" charset="0"/>
              <a:cs typeface="Times New Roman" panose="02020603050405020304" pitchFamily="18" charset="0"/>
            </a:rPr>
            <a:t>0%-Pkt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0.49959</cdr:x>
      <cdr:y>0.09014</cdr:y>
    </cdr:from>
    <cdr:to>
      <cdr:x>0.54841</cdr:x>
      <cdr:y>0.90403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E8C6BF35-93C7-4FC0-9CE9-4BCBE1794ECC}"/>
            </a:ext>
          </a:extLst>
        </cdr:cNvPr>
        <cdr:cNvSpPr/>
      </cdr:nvSpPr>
      <cdr:spPr>
        <a:xfrm xmlns:a="http://schemas.openxmlformats.org/drawingml/2006/main">
          <a:off x="2542762" y="281609"/>
          <a:ext cx="248478" cy="25427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0.49979</cdr:x>
      <cdr:y>0.11474</cdr:y>
    </cdr:from>
    <cdr:to>
      <cdr:x>0.49979</cdr:x>
      <cdr:y>0.86277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8F647145-2ABA-40DD-A6A2-7AE351E45F72}"/>
            </a:ext>
          </a:extLst>
        </cdr:cNvPr>
        <cdr:cNvCxnSpPr/>
      </cdr:nvCxnSpPr>
      <cdr:spPr>
        <a:xfrm xmlns:a="http://schemas.openxmlformats.org/drawingml/2006/main">
          <a:off x="2543803" y="358471"/>
          <a:ext cx="0" cy="23369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0.45521</cdr:x>
      <cdr:y>0.46498</cdr:y>
    </cdr:from>
    <cdr:to>
      <cdr:x>0.59093</cdr:x>
      <cdr:y>0.6099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50BFE712-C545-492A-B54F-A77DC0EEFED8}"/>
            </a:ext>
          </a:extLst>
        </cdr:cNvPr>
        <cdr:cNvSpPr txBox="1"/>
      </cdr:nvSpPr>
      <cdr:spPr>
        <a:xfrm xmlns:a="http://schemas.openxmlformats.org/drawingml/2006/main">
          <a:off x="2294278" y="1275536"/>
          <a:ext cx="684000" cy="3975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36000" tIns="36000" rIns="36000" bIns="36000" rtlCol="0"/>
        <a:lstStyle xmlns:a="http://schemas.openxmlformats.org/drawingml/2006/main"/>
        <a:p xmlns:a="http://schemas.openxmlformats.org/drawingml/2006/main">
          <a:r>
            <a:rPr lang="de-DE" sz="900"/>
            <a:t>Delta-Spread</a:t>
          </a:r>
        </a:p>
        <a:p xmlns:a="http://schemas.openxmlformats.org/drawingml/2006/main">
          <a:pPr algn="ctr"/>
          <a:r>
            <a:rPr lang="de-DE" sz="900"/>
            <a:t>0%-Pkt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680356</xdr:colOff>
      <xdr:row>39</xdr:row>
      <xdr:rowOff>34017</xdr:rowOff>
    </xdr:from>
    <xdr:to>
      <xdr:col>10</xdr:col>
      <xdr:colOff>1062469</xdr:colOff>
      <xdr:row>63</xdr:row>
      <xdr:rowOff>16964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9" y="6511017"/>
          <a:ext cx="4416631" cy="4582161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51</xdr:row>
      <xdr:rowOff>0</xdr:rowOff>
    </xdr:from>
    <xdr:to>
      <xdr:col>5</xdr:col>
      <xdr:colOff>1245919</xdr:colOff>
      <xdr:row>57</xdr:row>
      <xdr:rowOff>88926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28" y="8044543"/>
          <a:ext cx="1822862" cy="113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tabSelected="1" workbookViewId="0">
      <selection activeCell="H7" sqref="H7"/>
    </sheetView>
  </sheetViews>
  <sheetFormatPr baseColWidth="10" defaultRowHeight="14.4" x14ac:dyDescent="0.3"/>
  <cols>
    <col min="1" max="1" width="8.33203125" style="17" customWidth="1"/>
    <col min="2" max="2" width="5.44140625" style="17" customWidth="1"/>
    <col min="3" max="12" width="11.5546875" style="17"/>
  </cols>
  <sheetData>
    <row r="1" spans="1:22" ht="18" thickBot="1" x14ac:dyDescent="0.35">
      <c r="A1" s="18" t="s">
        <v>195</v>
      </c>
    </row>
    <row r="2" spans="1:22" x14ac:dyDescent="0.3">
      <c r="A2" s="189" t="s">
        <v>197</v>
      </c>
      <c r="J2" s="402"/>
      <c r="K2" s="403"/>
      <c r="L2" s="403"/>
      <c r="M2" s="404"/>
      <c r="N2" s="404"/>
      <c r="O2" s="404"/>
      <c r="P2" s="404"/>
      <c r="Q2" s="404"/>
      <c r="R2" s="404"/>
      <c r="S2" s="404"/>
      <c r="T2" s="404"/>
      <c r="U2" s="404"/>
      <c r="V2" s="405"/>
    </row>
    <row r="3" spans="1:22" ht="15.6" x14ac:dyDescent="0.3">
      <c r="A3" s="21" t="s">
        <v>228</v>
      </c>
      <c r="B3" s="339" t="s">
        <v>196</v>
      </c>
      <c r="J3" s="407"/>
      <c r="K3" s="410" t="s">
        <v>379</v>
      </c>
      <c r="L3" s="43"/>
      <c r="M3" s="2"/>
      <c r="N3" s="2"/>
      <c r="O3" s="2"/>
      <c r="P3" s="2"/>
      <c r="Q3" s="2"/>
      <c r="R3" s="2"/>
      <c r="S3" s="2"/>
      <c r="T3" s="2"/>
      <c r="U3" s="2"/>
      <c r="V3" s="406"/>
    </row>
    <row r="4" spans="1:22" x14ac:dyDescent="0.3">
      <c r="A4" s="21"/>
      <c r="C4" s="17" t="s">
        <v>198</v>
      </c>
      <c r="J4" s="407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406"/>
    </row>
    <row r="5" spans="1:22" ht="15.6" x14ac:dyDescent="0.3">
      <c r="A5" s="21"/>
      <c r="C5" s="17" t="s">
        <v>199</v>
      </c>
      <c r="J5" s="407"/>
      <c r="K5" s="400" t="s">
        <v>373</v>
      </c>
      <c r="L5" s="214"/>
      <c r="M5" s="401"/>
      <c r="N5" s="401"/>
      <c r="O5" s="401"/>
      <c r="P5" s="401"/>
      <c r="Q5" s="401"/>
      <c r="R5" s="401"/>
      <c r="S5" s="401"/>
      <c r="T5" s="401"/>
      <c r="U5" s="401"/>
      <c r="V5" s="406"/>
    </row>
    <row r="6" spans="1:22" ht="15.6" x14ac:dyDescent="0.3">
      <c r="A6" s="21" t="s">
        <v>229</v>
      </c>
      <c r="B6" s="339" t="s">
        <v>200</v>
      </c>
      <c r="J6" s="407"/>
      <c r="K6" s="214" t="s">
        <v>374</v>
      </c>
      <c r="L6" s="214"/>
      <c r="M6" s="401"/>
      <c r="N6" s="401"/>
      <c r="O6" s="401"/>
      <c r="P6" s="401"/>
      <c r="Q6" s="401"/>
      <c r="R6" s="401"/>
      <c r="S6" s="401"/>
      <c r="T6" s="401"/>
      <c r="U6" s="401"/>
      <c r="V6" s="406"/>
    </row>
    <row r="7" spans="1:22" ht="15.6" x14ac:dyDescent="0.3">
      <c r="A7" s="21"/>
      <c r="C7" s="17" t="s">
        <v>201</v>
      </c>
      <c r="J7" s="407"/>
      <c r="K7" s="214" t="s">
        <v>375</v>
      </c>
      <c r="L7" s="214"/>
      <c r="M7" s="401"/>
      <c r="N7" s="401"/>
      <c r="O7" s="401"/>
      <c r="P7" s="401"/>
      <c r="Q7" s="401"/>
      <c r="R7" s="401"/>
      <c r="S7" s="401"/>
      <c r="T7" s="401"/>
      <c r="U7" s="401"/>
      <c r="V7" s="406"/>
    </row>
    <row r="8" spans="1:22" ht="15.6" x14ac:dyDescent="0.3">
      <c r="A8" s="21"/>
      <c r="C8" s="17" t="s">
        <v>202</v>
      </c>
      <c r="J8" s="407"/>
      <c r="K8" s="214"/>
      <c r="L8" s="214"/>
      <c r="M8" s="401"/>
      <c r="N8" s="401"/>
      <c r="O8" s="401"/>
      <c r="P8" s="401"/>
      <c r="Q8" s="401"/>
      <c r="R8" s="401"/>
      <c r="S8" s="401"/>
      <c r="T8" s="401"/>
      <c r="U8" s="401"/>
      <c r="V8" s="406"/>
    </row>
    <row r="9" spans="1:22" ht="15.6" x14ac:dyDescent="0.3">
      <c r="A9" s="21"/>
      <c r="C9" s="17" t="s">
        <v>203</v>
      </c>
      <c r="J9" s="407"/>
      <c r="K9" s="400" t="s">
        <v>376</v>
      </c>
      <c r="L9" s="214"/>
      <c r="M9" s="401"/>
      <c r="N9" s="401"/>
      <c r="O9" s="401"/>
      <c r="P9" s="401"/>
      <c r="Q9" s="401"/>
      <c r="R9" s="401"/>
      <c r="S9" s="401"/>
      <c r="T9" s="401"/>
      <c r="U9" s="401"/>
      <c r="V9" s="406"/>
    </row>
    <row r="10" spans="1:22" ht="15.6" x14ac:dyDescent="0.3">
      <c r="A10" s="21"/>
      <c r="C10" s="17" t="s">
        <v>204</v>
      </c>
      <c r="J10" s="407"/>
      <c r="K10" s="214" t="s">
        <v>377</v>
      </c>
      <c r="L10" s="214"/>
      <c r="M10" s="401"/>
      <c r="N10" s="401"/>
      <c r="O10" s="401"/>
      <c r="P10" s="401"/>
      <c r="Q10" s="401"/>
      <c r="R10" s="401"/>
      <c r="S10" s="401"/>
      <c r="T10" s="401"/>
      <c r="U10" s="401"/>
      <c r="V10" s="406"/>
    </row>
    <row r="11" spans="1:22" ht="15.6" x14ac:dyDescent="0.3">
      <c r="A11" s="21"/>
      <c r="C11" s="17" t="s">
        <v>205</v>
      </c>
      <c r="J11" s="407"/>
      <c r="K11" s="214" t="s">
        <v>378</v>
      </c>
      <c r="L11" s="214"/>
      <c r="M11" s="401"/>
      <c r="N11" s="401"/>
      <c r="O11" s="401"/>
      <c r="P11" s="401"/>
      <c r="Q11" s="401"/>
      <c r="R11" s="401"/>
      <c r="S11" s="401"/>
      <c r="T11" s="401"/>
      <c r="U11" s="401"/>
      <c r="V11" s="406"/>
    </row>
    <row r="12" spans="1:22" ht="16.2" thickBot="1" x14ac:dyDescent="0.35">
      <c r="A12" s="21" t="s">
        <v>230</v>
      </c>
      <c r="B12" s="339" t="s">
        <v>206</v>
      </c>
      <c r="J12" s="408"/>
      <c r="K12" s="411"/>
      <c r="L12" s="411"/>
      <c r="M12" s="412"/>
      <c r="N12" s="412"/>
      <c r="O12" s="412"/>
      <c r="P12" s="412"/>
      <c r="Q12" s="412"/>
      <c r="R12" s="412"/>
      <c r="S12" s="412"/>
      <c r="T12" s="412"/>
      <c r="U12" s="412"/>
      <c r="V12" s="409"/>
    </row>
    <row r="13" spans="1:22" x14ac:dyDescent="0.3">
      <c r="A13" s="21"/>
      <c r="C13" s="17" t="s">
        <v>207</v>
      </c>
    </row>
    <row r="14" spans="1:22" x14ac:dyDescent="0.3">
      <c r="A14" s="21"/>
      <c r="C14" s="17" t="s">
        <v>208</v>
      </c>
    </row>
    <row r="15" spans="1:22" x14ac:dyDescent="0.3">
      <c r="A15" s="21"/>
      <c r="C15" s="17" t="s">
        <v>202</v>
      </c>
    </row>
    <row r="16" spans="1:22" x14ac:dyDescent="0.3">
      <c r="A16" s="21"/>
      <c r="C16" s="17" t="s">
        <v>209</v>
      </c>
    </row>
    <row r="17" spans="1:3" x14ac:dyDescent="0.3">
      <c r="A17" s="21"/>
      <c r="C17" s="17" t="s">
        <v>210</v>
      </c>
    </row>
    <row r="18" spans="1:3" x14ac:dyDescent="0.3">
      <c r="A18" s="21"/>
      <c r="C18" s="17" t="s">
        <v>211</v>
      </c>
    </row>
    <row r="19" spans="1:3" x14ac:dyDescent="0.3">
      <c r="A19" s="21" t="s">
        <v>231</v>
      </c>
      <c r="B19" s="339" t="s">
        <v>212</v>
      </c>
    </row>
    <row r="20" spans="1:3" x14ac:dyDescent="0.3">
      <c r="A20" s="21"/>
      <c r="C20" s="17" t="s">
        <v>213</v>
      </c>
    </row>
    <row r="21" spans="1:3" x14ac:dyDescent="0.3">
      <c r="A21" s="21"/>
      <c r="C21" s="17" t="s">
        <v>202</v>
      </c>
    </row>
    <row r="22" spans="1:3" x14ac:dyDescent="0.3">
      <c r="A22" s="21"/>
      <c r="C22" s="17" t="s">
        <v>214</v>
      </c>
    </row>
    <row r="23" spans="1:3" x14ac:dyDescent="0.3">
      <c r="A23" s="21"/>
      <c r="C23" s="339" t="s">
        <v>215</v>
      </c>
    </row>
    <row r="24" spans="1:3" x14ac:dyDescent="0.3">
      <c r="A24" s="21"/>
      <c r="C24" s="17" t="s">
        <v>216</v>
      </c>
    </row>
    <row r="25" spans="1:3" x14ac:dyDescent="0.3">
      <c r="A25" s="21"/>
      <c r="C25" s="17" t="s">
        <v>217</v>
      </c>
    </row>
    <row r="26" spans="1:3" x14ac:dyDescent="0.3">
      <c r="A26" s="21" t="s">
        <v>232</v>
      </c>
      <c r="B26" s="17" t="s">
        <v>218</v>
      </c>
    </row>
    <row r="27" spans="1:3" x14ac:dyDescent="0.3">
      <c r="A27" s="21"/>
      <c r="C27" s="17" t="s">
        <v>219</v>
      </c>
    </row>
    <row r="28" spans="1:3" x14ac:dyDescent="0.3">
      <c r="A28" s="21"/>
      <c r="C28" s="17" t="s">
        <v>220</v>
      </c>
    </row>
    <row r="29" spans="1:3" x14ac:dyDescent="0.3">
      <c r="A29" s="21"/>
      <c r="C29" s="17" t="s">
        <v>221</v>
      </c>
    </row>
    <row r="30" spans="1:3" x14ac:dyDescent="0.3">
      <c r="A30" s="21"/>
      <c r="C30" s="17" t="s">
        <v>222</v>
      </c>
    </row>
    <row r="31" spans="1:3" x14ac:dyDescent="0.3">
      <c r="A31" s="21" t="s">
        <v>233</v>
      </c>
      <c r="B31" s="17" t="s">
        <v>223</v>
      </c>
    </row>
    <row r="32" spans="1:3" x14ac:dyDescent="0.3">
      <c r="A32" s="21"/>
      <c r="C32" s="17" t="s">
        <v>224</v>
      </c>
    </row>
    <row r="33" spans="1:3" x14ac:dyDescent="0.3">
      <c r="A33" s="21"/>
      <c r="C33" s="339" t="s">
        <v>225</v>
      </c>
    </row>
    <row r="34" spans="1:3" x14ac:dyDescent="0.3">
      <c r="A34" s="21"/>
      <c r="C34" s="339" t="s">
        <v>226</v>
      </c>
    </row>
    <row r="35" spans="1:3" x14ac:dyDescent="0.3">
      <c r="A35" s="21"/>
      <c r="C35" s="339" t="s">
        <v>227</v>
      </c>
    </row>
    <row r="36" spans="1:3" x14ac:dyDescent="0.3">
      <c r="A36" s="21"/>
    </row>
  </sheetData>
  <hyperlinks>
    <hyperlink ref="B6" location="'Ertragswertkalkül mit Marge'!A1" display="Die Ökonomie im ertragswertbasierten Zinsbuchkalkül"/>
    <hyperlink ref="B12" location="'Ertragswertkalkül ohne Marge'!A1" display="Die Ökonomie im ertragswertbasierten Zinsbuchkalkül ohnne Margen"/>
    <hyperlink ref="B19" location="Marktwertkalkül!A1" display="Die Ökonomie im marktwertbasierten Zinsbuchkalkül"/>
    <hyperlink ref="C23" location="'Exkurs Dynamiken Zins-Sensi'!A1" display="Exkurs und Vertiefung: Dynamiken in der marktwertbasierten Zinsrisiko-Sensitivität und deren Steuerung"/>
    <hyperlink ref="B3" location="Überblick!A1" display="Überblick"/>
    <hyperlink ref="C33" location="Ertragsperspektive!A1" display="Risikodefinition und Herausforderungen im bilanziellen Ertragsperspektive (Earnings Perspective)"/>
    <hyperlink ref="C34" location="'Bsp. Ertragsperspektive mit CS'!A1" display="Abbildung des Beispiel-Zinsbuchs in der Ertragsperspektive (Earnings Perspective)"/>
    <hyperlink ref="C35" location="'Bsp. Ertragsperspektive IRRBB'!A1" display="Abbildung des Beispiel-Zinsbuchs in der Ertragsperspektive für das IRRBB (Earings Perspective)"/>
  </hyperlink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1"/>
  <sheetViews>
    <sheetView topLeftCell="A79" workbookViewId="0"/>
  </sheetViews>
  <sheetFormatPr baseColWidth="10" defaultColWidth="11.5546875" defaultRowHeight="13.8" x14ac:dyDescent="0.25"/>
  <cols>
    <col min="1" max="1" width="16.88671875" style="17" customWidth="1"/>
    <col min="2" max="2" width="26.109375" style="17" customWidth="1"/>
    <col min="3" max="3" width="19.44140625" style="17" bestFit="1" customWidth="1"/>
    <col min="4" max="4" width="15" style="17" customWidth="1"/>
    <col min="5" max="5" width="13.6640625" style="17" bestFit="1" customWidth="1"/>
    <col min="6" max="6" width="11.5546875" style="17"/>
    <col min="7" max="8" width="13.6640625" style="17" bestFit="1" customWidth="1"/>
    <col min="9" max="16384" width="11.5546875" style="17"/>
  </cols>
  <sheetData>
    <row r="1" spans="1:15" ht="18" thickBot="1" x14ac:dyDescent="0.35">
      <c r="A1" s="18" t="s">
        <v>368</v>
      </c>
    </row>
    <row r="2" spans="1:15" x14ac:dyDescent="0.25">
      <c r="A2" s="388" t="s">
        <v>277</v>
      </c>
      <c r="B2" s="388"/>
      <c r="C2" s="388"/>
      <c r="D2" s="388"/>
      <c r="E2" s="388"/>
      <c r="F2" s="388"/>
      <c r="G2" s="388"/>
      <c r="H2" s="388"/>
      <c r="I2" s="388"/>
      <c r="J2" s="389"/>
      <c r="K2" s="39"/>
      <c r="L2" s="41" t="s">
        <v>6</v>
      </c>
      <c r="M2" s="41">
        <v>1</v>
      </c>
      <c r="N2" s="41">
        <v>2</v>
      </c>
      <c r="O2" s="42"/>
    </row>
    <row r="3" spans="1:15" x14ac:dyDescent="0.25">
      <c r="A3" s="17" t="s">
        <v>0</v>
      </c>
      <c r="B3" s="17" t="s">
        <v>13</v>
      </c>
      <c r="C3" s="17" t="s">
        <v>2</v>
      </c>
      <c r="F3" s="17" t="s">
        <v>3</v>
      </c>
      <c r="I3" s="17" t="s">
        <v>4</v>
      </c>
      <c r="K3" s="365" t="s">
        <v>2</v>
      </c>
      <c r="L3" s="43" t="s">
        <v>7</v>
      </c>
      <c r="M3" s="43">
        <v>0.02</v>
      </c>
      <c r="N3" s="43">
        <v>0.04</v>
      </c>
      <c r="O3" s="45"/>
    </row>
    <row r="4" spans="1:15" x14ac:dyDescent="0.25">
      <c r="K4" s="365"/>
      <c r="L4" s="43" t="s">
        <v>8</v>
      </c>
      <c r="M4" s="43">
        <v>0.03</v>
      </c>
      <c r="N4" s="43">
        <v>0.05</v>
      </c>
      <c r="O4" s="45"/>
    </row>
    <row r="5" spans="1:15" x14ac:dyDescent="0.25">
      <c r="A5" s="17" t="s">
        <v>1</v>
      </c>
      <c r="B5" s="17" t="s">
        <v>14</v>
      </c>
      <c r="C5" s="17">
        <v>-100000</v>
      </c>
      <c r="F5" s="17">
        <v>9000</v>
      </c>
      <c r="I5" s="17">
        <v>109000.00000000001</v>
      </c>
      <c r="K5" s="365"/>
      <c r="L5" s="43" t="s">
        <v>9</v>
      </c>
      <c r="M5" s="43">
        <v>2.5000000000000001E-3</v>
      </c>
      <c r="N5" s="43">
        <v>5.0000000000000001E-3</v>
      </c>
      <c r="O5" s="45"/>
    </row>
    <row r="6" spans="1:15" x14ac:dyDescent="0.25">
      <c r="A6" s="17" t="s">
        <v>1</v>
      </c>
      <c r="B6" s="17" t="s">
        <v>15</v>
      </c>
      <c r="C6" s="17">
        <v>-100000</v>
      </c>
      <c r="F6" s="17">
        <v>9000</v>
      </c>
      <c r="I6" s="17">
        <v>109000.00000000001</v>
      </c>
      <c r="K6" s="365"/>
      <c r="L6" s="43"/>
      <c r="M6" s="43"/>
      <c r="N6" s="43"/>
      <c r="O6" s="45"/>
    </row>
    <row r="7" spans="1:15" x14ac:dyDescent="0.25">
      <c r="A7" s="17" t="s">
        <v>5</v>
      </c>
      <c r="B7" s="17" t="s">
        <v>16</v>
      </c>
      <c r="C7" s="17">
        <v>200000</v>
      </c>
      <c r="F7" s="17">
        <v>-204500</v>
      </c>
      <c r="K7" s="47"/>
      <c r="L7" s="43"/>
      <c r="M7" s="43"/>
      <c r="N7" s="43"/>
      <c r="O7" s="45"/>
    </row>
    <row r="8" spans="1:15" x14ac:dyDescent="0.25">
      <c r="K8" s="47"/>
      <c r="L8" s="43"/>
      <c r="M8" s="43">
        <v>1</v>
      </c>
      <c r="N8" s="43">
        <v>2</v>
      </c>
      <c r="O8" s="45"/>
    </row>
    <row r="9" spans="1:15" x14ac:dyDescent="0.25">
      <c r="E9" s="17" t="s">
        <v>17</v>
      </c>
      <c r="F9" s="17">
        <f>F5+F6</f>
        <v>18000</v>
      </c>
      <c r="H9" s="17" t="s">
        <v>17</v>
      </c>
      <c r="I9" s="49">
        <f>I5+I6+C5+C6</f>
        <v>18000.000000000029</v>
      </c>
      <c r="K9" s="47" t="s">
        <v>10</v>
      </c>
      <c r="L9" s="43" t="s">
        <v>7</v>
      </c>
      <c r="M9" s="43">
        <f>M3</f>
        <v>0.02</v>
      </c>
      <c r="N9" s="43">
        <f>N3</f>
        <v>0.04</v>
      </c>
      <c r="O9" s="45"/>
    </row>
    <row r="10" spans="1:15" x14ac:dyDescent="0.25">
      <c r="E10" s="46" t="s">
        <v>18</v>
      </c>
      <c r="F10" s="46">
        <f>F7+C7</f>
        <v>-4500</v>
      </c>
      <c r="G10" s="46"/>
      <c r="H10" s="46" t="s">
        <v>18</v>
      </c>
      <c r="I10" s="46"/>
      <c r="J10" s="142" t="s">
        <v>20</v>
      </c>
      <c r="K10" s="47"/>
      <c r="L10" s="43"/>
      <c r="M10" s="43">
        <v>1</v>
      </c>
      <c r="N10" s="43">
        <v>2</v>
      </c>
      <c r="O10" s="45"/>
    </row>
    <row r="11" spans="1:15" x14ac:dyDescent="0.25">
      <c r="E11" s="49" t="s">
        <v>19</v>
      </c>
      <c r="F11" s="49">
        <f>F9+F10</f>
        <v>13500</v>
      </c>
      <c r="G11" s="63"/>
      <c r="H11" s="63" t="s">
        <v>19</v>
      </c>
      <c r="I11" s="63">
        <f>I9+I10</f>
        <v>18000.000000000029</v>
      </c>
      <c r="K11" s="47"/>
      <c r="L11" s="43" t="s">
        <v>11</v>
      </c>
      <c r="M11" s="43">
        <f>M3+M4</f>
        <v>0.05</v>
      </c>
      <c r="N11" s="43">
        <f>N3+N4</f>
        <v>0.09</v>
      </c>
      <c r="O11" s="45"/>
    </row>
    <row r="12" spans="1:15" x14ac:dyDescent="0.25">
      <c r="K12" s="47"/>
      <c r="L12" s="43"/>
      <c r="M12" s="43">
        <v>1</v>
      </c>
      <c r="N12" s="43">
        <v>2</v>
      </c>
      <c r="O12" s="45"/>
    </row>
    <row r="13" spans="1:15" x14ac:dyDescent="0.25">
      <c r="E13" s="50" t="s">
        <v>5</v>
      </c>
      <c r="F13" s="17">
        <v>200000</v>
      </c>
      <c r="I13" s="17">
        <v>-200000</v>
      </c>
      <c r="K13" s="47"/>
      <c r="L13" s="43" t="s">
        <v>12</v>
      </c>
      <c r="M13" s="43">
        <f>M3+M5</f>
        <v>2.2499999999999999E-2</v>
      </c>
      <c r="N13" s="43">
        <f>N3+N5</f>
        <v>4.4999999999999998E-2</v>
      </c>
      <c r="O13" s="45"/>
    </row>
    <row r="14" spans="1:15" x14ac:dyDescent="0.25">
      <c r="C14" s="62">
        <f>F5*M16+I5*N16</f>
        <v>109521.11613876323</v>
      </c>
      <c r="D14" s="62"/>
      <c r="H14" s="17" t="s">
        <v>18</v>
      </c>
      <c r="I14" s="17">
        <f>C7*M13*-1</f>
        <v>-4500</v>
      </c>
      <c r="J14" s="17" t="s">
        <v>278</v>
      </c>
      <c r="K14" s="47"/>
      <c r="L14" s="43"/>
      <c r="M14" s="43"/>
      <c r="N14" s="43"/>
      <c r="O14" s="45"/>
    </row>
    <row r="15" spans="1:15" x14ac:dyDescent="0.25">
      <c r="C15" s="62">
        <f>F6*M16+I6*N16</f>
        <v>109521.11613876323</v>
      </c>
      <c r="D15" s="62"/>
      <c r="E15" s="17" t="s">
        <v>24</v>
      </c>
      <c r="F15" s="266">
        <f>F11</f>
        <v>13500</v>
      </c>
      <c r="I15" s="266">
        <f>I9+I14</f>
        <v>13500.000000000029</v>
      </c>
      <c r="K15" s="47"/>
      <c r="L15" s="43"/>
      <c r="M15" s="43">
        <v>1</v>
      </c>
      <c r="N15" s="43">
        <v>2</v>
      </c>
      <c r="O15" s="45"/>
    </row>
    <row r="16" spans="1:15" ht="15" customHeight="1" x14ac:dyDescent="0.25">
      <c r="C16" s="64">
        <f>F7*M16</f>
        <v>-200490.19607843136</v>
      </c>
      <c r="D16" s="62"/>
      <c r="G16" s="390" t="s">
        <v>279</v>
      </c>
      <c r="H16" s="390"/>
      <c r="I16" s="390"/>
      <c r="K16" s="47" t="s">
        <v>10</v>
      </c>
      <c r="L16" s="43" t="s">
        <v>7</v>
      </c>
      <c r="M16" s="43">
        <f>(1/(1+M9))</f>
        <v>0.98039215686274506</v>
      </c>
      <c r="N16" s="43">
        <f>(1-N9*SUM($M16:M$16))/(1+N9)</f>
        <v>0.92383107088989447</v>
      </c>
      <c r="O16" s="45"/>
    </row>
    <row r="17" spans="1:18" x14ac:dyDescent="0.25">
      <c r="B17" s="267" t="s">
        <v>21</v>
      </c>
      <c r="C17" s="268">
        <f>SUM(C14:C16)</f>
        <v>18552.036199095106</v>
      </c>
      <c r="D17" s="62"/>
      <c r="G17" s="390"/>
      <c r="H17" s="390"/>
      <c r="I17" s="390"/>
      <c r="K17" s="47"/>
      <c r="L17" s="43"/>
      <c r="M17" s="43">
        <v>1</v>
      </c>
      <c r="N17" s="43">
        <v>2</v>
      </c>
      <c r="O17" s="45"/>
    </row>
    <row r="18" spans="1:18" x14ac:dyDescent="0.25">
      <c r="B18" s="50" t="s">
        <v>22</v>
      </c>
      <c r="C18" s="66">
        <v>1</v>
      </c>
      <c r="D18" s="66">
        <v>2</v>
      </c>
      <c r="G18" s="390"/>
      <c r="H18" s="390"/>
      <c r="I18" s="390"/>
      <c r="K18" s="47"/>
      <c r="L18" s="43" t="s">
        <v>11</v>
      </c>
      <c r="M18" s="43">
        <f t="shared" ref="M18:M20" si="0">(1/(1+M11))</f>
        <v>0.95238095238095233</v>
      </c>
      <c r="N18" s="43">
        <f>(1-N11*SUM($M18:M$18))/(1+N11)</f>
        <v>0.83879423328964609</v>
      </c>
      <c r="O18" s="45"/>
    </row>
    <row r="19" spans="1:18" x14ac:dyDescent="0.25">
      <c r="B19" s="50" t="s">
        <v>26</v>
      </c>
      <c r="C19" s="68">
        <v>21.17980931836064</v>
      </c>
      <c r="D19" s="68">
        <v>39.911610773066059</v>
      </c>
      <c r="E19" s="67"/>
      <c r="G19" s="390"/>
      <c r="H19" s="390"/>
      <c r="I19" s="390"/>
      <c r="K19" s="47"/>
      <c r="L19" s="43"/>
      <c r="M19" s="43">
        <v>1</v>
      </c>
      <c r="N19" s="43">
        <v>2</v>
      </c>
      <c r="O19" s="45"/>
    </row>
    <row r="20" spans="1:18" ht="14.4" thickBot="1" x14ac:dyDescent="0.3">
      <c r="B20" s="50"/>
      <c r="C20" s="68"/>
      <c r="D20" s="68"/>
      <c r="K20" s="69"/>
      <c r="L20" s="70" t="s">
        <v>12</v>
      </c>
      <c r="M20" s="70">
        <f t="shared" si="0"/>
        <v>0.97799511002444994</v>
      </c>
      <c r="N20" s="70">
        <f>(1-N13*SUM(M20:M$20))/(1+N13)</f>
        <v>0.91482317708028693</v>
      </c>
      <c r="O20" s="71"/>
    </row>
    <row r="22" spans="1:18" ht="14.4" thickBot="1" x14ac:dyDescent="0.3"/>
    <row r="23" spans="1:18" x14ac:dyDescent="0.25">
      <c r="A23" s="396" t="s">
        <v>280</v>
      </c>
      <c r="B23" s="396"/>
      <c r="C23" s="396"/>
      <c r="D23" s="396"/>
      <c r="E23" s="396"/>
      <c r="F23" s="396"/>
      <c r="G23" s="396"/>
      <c r="H23" s="396"/>
      <c r="I23" s="396"/>
      <c r="J23" s="397"/>
      <c r="K23" s="39"/>
      <c r="L23" s="41" t="s">
        <v>6</v>
      </c>
      <c r="M23" s="41">
        <v>1</v>
      </c>
      <c r="N23" s="41">
        <v>2</v>
      </c>
      <c r="O23" s="42"/>
    </row>
    <row r="24" spans="1:18" x14ac:dyDescent="0.25">
      <c r="A24" s="17" t="s">
        <v>0</v>
      </c>
      <c r="B24" s="17" t="s">
        <v>13</v>
      </c>
      <c r="C24" s="17" t="s">
        <v>2</v>
      </c>
      <c r="F24" s="17" t="s">
        <v>3</v>
      </c>
      <c r="I24" s="17" t="s">
        <v>4</v>
      </c>
      <c r="K24" s="365" t="s">
        <v>3</v>
      </c>
      <c r="L24" s="43" t="s">
        <v>7</v>
      </c>
      <c r="M24" s="43">
        <f>M3+P24</f>
        <v>0.04</v>
      </c>
      <c r="N24" s="43">
        <f>N3+Q24</f>
        <v>0.06</v>
      </c>
      <c r="O24" s="45"/>
      <c r="P24" s="17">
        <v>0.02</v>
      </c>
      <c r="Q24" s="17">
        <v>0.02</v>
      </c>
      <c r="R24" s="17" t="s">
        <v>70</v>
      </c>
    </row>
    <row r="25" spans="1:18" x14ac:dyDescent="0.25">
      <c r="K25" s="365"/>
      <c r="L25" s="43" t="s">
        <v>8</v>
      </c>
      <c r="M25" s="43">
        <f t="shared" ref="M25:N26" si="1">M4+P25</f>
        <v>0.06</v>
      </c>
      <c r="N25" s="43">
        <f t="shared" si="1"/>
        <v>0.08</v>
      </c>
      <c r="O25" s="45"/>
      <c r="P25" s="17">
        <v>0.03</v>
      </c>
      <c r="Q25" s="17">
        <v>0.03</v>
      </c>
      <c r="R25" s="17" t="s">
        <v>69</v>
      </c>
    </row>
    <row r="26" spans="1:18" x14ac:dyDescent="0.25">
      <c r="A26" s="17" t="s">
        <v>1</v>
      </c>
      <c r="B26" s="17" t="s">
        <v>14</v>
      </c>
      <c r="C26" s="17">
        <v>-100000</v>
      </c>
      <c r="F26" s="17">
        <v>9000</v>
      </c>
      <c r="I26" s="17">
        <v>109000.00000000001</v>
      </c>
      <c r="K26" s="365"/>
      <c r="L26" s="43" t="s">
        <v>9</v>
      </c>
      <c r="M26" s="43">
        <f t="shared" si="1"/>
        <v>2.5000000000000001E-3</v>
      </c>
      <c r="N26" s="43">
        <f t="shared" si="1"/>
        <v>5.0000000000000001E-3</v>
      </c>
      <c r="O26" s="45"/>
      <c r="P26" s="17">
        <v>0</v>
      </c>
      <c r="Q26" s="17">
        <v>0</v>
      </c>
      <c r="R26" s="17" t="s">
        <v>74</v>
      </c>
    </row>
    <row r="27" spans="1:18" x14ac:dyDescent="0.25">
      <c r="A27" s="17" t="s">
        <v>1</v>
      </c>
      <c r="B27" s="17" t="s">
        <v>15</v>
      </c>
      <c r="C27" s="17">
        <v>-100000</v>
      </c>
      <c r="F27" s="17">
        <v>9000</v>
      </c>
      <c r="I27" s="17">
        <v>109000.00000000001</v>
      </c>
      <c r="K27" s="365"/>
      <c r="L27" s="43"/>
      <c r="M27" s="43"/>
      <c r="N27" s="43"/>
      <c r="O27" s="45"/>
    </row>
    <row r="28" spans="1:18" x14ac:dyDescent="0.25">
      <c r="A28" s="17" t="s">
        <v>5</v>
      </c>
      <c r="B28" s="17" t="s">
        <v>16</v>
      </c>
      <c r="C28" s="17">
        <v>200000</v>
      </c>
      <c r="F28" s="17">
        <v>-204500</v>
      </c>
      <c r="K28" s="47"/>
      <c r="L28" s="43"/>
      <c r="M28" s="43"/>
      <c r="N28" s="43"/>
      <c r="O28" s="45"/>
    </row>
    <row r="29" spans="1:18" x14ac:dyDescent="0.25">
      <c r="K29" s="47"/>
      <c r="L29" s="43"/>
      <c r="M29" s="43">
        <v>1</v>
      </c>
      <c r="N29" s="43">
        <v>2</v>
      </c>
      <c r="O29" s="45"/>
    </row>
    <row r="30" spans="1:18" x14ac:dyDescent="0.25">
      <c r="E30" s="17" t="s">
        <v>17</v>
      </c>
      <c r="F30" s="17">
        <f>F26+F27</f>
        <v>18000</v>
      </c>
      <c r="H30" s="17" t="s">
        <v>17</v>
      </c>
      <c r="I30" s="17">
        <f>I26+I27+C26+C27</f>
        <v>18000.000000000029</v>
      </c>
      <c r="K30" s="47" t="s">
        <v>10</v>
      </c>
      <c r="L30" s="43" t="s">
        <v>7</v>
      </c>
      <c r="M30" s="43">
        <f>M24</f>
        <v>0.04</v>
      </c>
      <c r="N30" s="43">
        <f>N24</f>
        <v>0.06</v>
      </c>
      <c r="O30" s="45"/>
    </row>
    <row r="31" spans="1:18" x14ac:dyDescent="0.25">
      <c r="E31" s="46" t="s">
        <v>18</v>
      </c>
      <c r="F31" s="46">
        <f>F28+C28</f>
        <v>-4500</v>
      </c>
      <c r="G31" s="46"/>
      <c r="H31" s="46" t="s">
        <v>18</v>
      </c>
      <c r="I31" s="46"/>
      <c r="J31" s="142" t="s">
        <v>20</v>
      </c>
      <c r="K31" s="47"/>
      <c r="L31" s="43"/>
      <c r="M31" s="43">
        <v>1</v>
      </c>
      <c r="N31" s="43">
        <v>2</v>
      </c>
      <c r="O31" s="45"/>
    </row>
    <row r="32" spans="1:18" x14ac:dyDescent="0.25">
      <c r="E32" s="49" t="s">
        <v>19</v>
      </c>
      <c r="F32" s="49">
        <f>F30+F31</f>
        <v>13500</v>
      </c>
      <c r="G32" s="49"/>
      <c r="H32" s="49" t="s">
        <v>19</v>
      </c>
      <c r="I32" s="49">
        <f>I30+I31</f>
        <v>18000.000000000029</v>
      </c>
      <c r="K32" s="47"/>
      <c r="L32" s="43" t="s">
        <v>11</v>
      </c>
      <c r="M32" s="43">
        <f>M24+M25</f>
        <v>0.1</v>
      </c>
      <c r="N32" s="43">
        <f>N24+N25</f>
        <v>0.14000000000000001</v>
      </c>
      <c r="O32" s="45"/>
    </row>
    <row r="33" spans="2:15" x14ac:dyDescent="0.25">
      <c r="K33" s="47"/>
      <c r="L33" s="43"/>
      <c r="M33" s="43">
        <v>1</v>
      </c>
      <c r="N33" s="43">
        <v>2</v>
      </c>
      <c r="O33" s="45"/>
    </row>
    <row r="34" spans="2:15" x14ac:dyDescent="0.25">
      <c r="E34" s="50" t="s">
        <v>5</v>
      </c>
      <c r="F34" s="17">
        <v>200000</v>
      </c>
      <c r="I34" s="17">
        <v>-200000</v>
      </c>
      <c r="K34" s="47"/>
      <c r="L34" s="43" t="s">
        <v>12</v>
      </c>
      <c r="M34" s="43">
        <f>M24+M26</f>
        <v>4.2500000000000003E-2</v>
      </c>
      <c r="N34" s="43">
        <f>N24+N26</f>
        <v>6.5000000000000002E-2</v>
      </c>
      <c r="O34" s="45"/>
    </row>
    <row r="35" spans="2:15" x14ac:dyDescent="0.25">
      <c r="C35" s="62">
        <f>F26*M37+I26*N37</f>
        <v>105551.52394775038</v>
      </c>
      <c r="D35" s="65">
        <f>C35-C14</f>
        <v>-3969.5921910128527</v>
      </c>
      <c r="I35" s="17">
        <f>C28*M34*-1</f>
        <v>-8500</v>
      </c>
      <c r="J35" s="17" t="s">
        <v>278</v>
      </c>
      <c r="K35" s="47"/>
      <c r="L35" s="43"/>
      <c r="M35" s="43"/>
      <c r="N35" s="43"/>
      <c r="O35" s="45"/>
    </row>
    <row r="36" spans="2:15" x14ac:dyDescent="0.25">
      <c r="C36" s="62">
        <f>F27*M37+I27*N37</f>
        <v>105551.52394775038</v>
      </c>
      <c r="D36" s="65">
        <f>C36-C15</f>
        <v>-3969.5921910128527</v>
      </c>
      <c r="E36" s="17" t="s">
        <v>24</v>
      </c>
      <c r="F36" s="266">
        <f>F32</f>
        <v>13500</v>
      </c>
      <c r="I36" s="266">
        <f>I30+I35</f>
        <v>9500.0000000000291</v>
      </c>
      <c r="K36" s="47"/>
      <c r="L36" s="43"/>
      <c r="M36" s="43">
        <v>1</v>
      </c>
      <c r="N36" s="43">
        <v>2</v>
      </c>
      <c r="O36" s="45"/>
    </row>
    <row r="37" spans="2:15" x14ac:dyDescent="0.25">
      <c r="C37" s="64">
        <f>F28*M37</f>
        <v>-196634.61538461538</v>
      </c>
      <c r="D37" s="65">
        <f>C37-C16</f>
        <v>3855.5806938159803</v>
      </c>
      <c r="G37" s="390" t="s">
        <v>279</v>
      </c>
      <c r="H37" s="390"/>
      <c r="I37" s="390"/>
      <c r="K37" s="47" t="s">
        <v>10</v>
      </c>
      <c r="L37" s="43" t="s">
        <v>7</v>
      </c>
      <c r="M37" s="43">
        <f>(1/(1+M30))</f>
        <v>0.96153846153846145</v>
      </c>
      <c r="N37" s="43">
        <f>(1-N30*SUM($M$37:M37))/(1+N30)</f>
        <v>0.88896952104499272</v>
      </c>
      <c r="O37" s="45"/>
    </row>
    <row r="38" spans="2:15" x14ac:dyDescent="0.25">
      <c r="B38" s="267" t="s">
        <v>21</v>
      </c>
      <c r="C38" s="268">
        <f>SUM(C35:C37)</f>
        <v>14468.432510885381</v>
      </c>
      <c r="D38" s="65">
        <f>SUM(D35:D37)</f>
        <v>-4083.6036882097251</v>
      </c>
      <c r="E38" s="17">
        <v>-4083.6036882097251</v>
      </c>
      <c r="G38" s="390"/>
      <c r="H38" s="390"/>
      <c r="I38" s="390"/>
      <c r="K38" s="47"/>
      <c r="L38" s="43"/>
      <c r="M38" s="43">
        <f t="shared" ref="M38:M41" si="2">(1/(1+M31))</f>
        <v>0.5</v>
      </c>
      <c r="N38" s="43">
        <v>2</v>
      </c>
      <c r="O38" s="45"/>
    </row>
    <row r="39" spans="2:15" x14ac:dyDescent="0.25">
      <c r="B39" s="50" t="s">
        <v>22</v>
      </c>
      <c r="C39" s="66">
        <v>1</v>
      </c>
      <c r="D39" s="66">
        <v>2</v>
      </c>
      <c r="G39" s="390"/>
      <c r="H39" s="390"/>
      <c r="I39" s="390"/>
      <c r="K39" s="47"/>
      <c r="L39" s="43" t="s">
        <v>11</v>
      </c>
      <c r="M39" s="43">
        <f t="shared" si="2"/>
        <v>0.90909090909090906</v>
      </c>
      <c r="N39" s="43">
        <f>(1-N32*SUM($M$39:M39))/(1+N32)</f>
        <v>0.76555023923444965</v>
      </c>
      <c r="O39" s="45"/>
    </row>
    <row r="40" spans="2:15" x14ac:dyDescent="0.25">
      <c r="B40" s="50" t="s">
        <v>26</v>
      </c>
      <c r="C40" s="68">
        <v>18.382073343673255</v>
      </c>
      <c r="D40" s="68">
        <v>-38.054026997764595</v>
      </c>
      <c r="E40" s="67">
        <f>D38-E38</f>
        <v>0</v>
      </c>
      <c r="G40" s="390"/>
      <c r="H40" s="390"/>
      <c r="I40" s="390"/>
      <c r="K40" s="47"/>
      <c r="L40" s="43"/>
      <c r="M40" s="43">
        <f t="shared" si="2"/>
        <v>0.5</v>
      </c>
      <c r="N40" s="43">
        <v>2</v>
      </c>
      <c r="O40" s="45"/>
    </row>
    <row r="41" spans="2:15" ht="14.4" thickBot="1" x14ac:dyDescent="0.3">
      <c r="B41" s="50"/>
      <c r="C41" s="68"/>
      <c r="D41" s="68"/>
      <c r="K41" s="69"/>
      <c r="L41" s="70" t="s">
        <v>12</v>
      </c>
      <c r="M41" s="70">
        <f t="shared" si="2"/>
        <v>0.95923261390887293</v>
      </c>
      <c r="N41" s="70">
        <f>(1-N34*SUM(M$41:M41))/(1+N34)</f>
        <v>0.88042242262528003</v>
      </c>
      <c r="O41" s="71"/>
    </row>
    <row r="44" spans="2:15" x14ac:dyDescent="0.25">
      <c r="C44" s="63"/>
      <c r="D44" s="63"/>
    </row>
    <row r="45" spans="2:15" x14ac:dyDescent="0.25">
      <c r="C45" s="63"/>
      <c r="D45" s="269"/>
    </row>
    <row r="46" spans="2:15" x14ac:dyDescent="0.25">
      <c r="D46" s="394" t="s">
        <v>60</v>
      </c>
      <c r="E46" s="395"/>
      <c r="G46" s="394" t="s">
        <v>61</v>
      </c>
      <c r="H46" s="395"/>
    </row>
    <row r="47" spans="2:15" x14ac:dyDescent="0.25">
      <c r="D47" s="270" t="str">
        <f>A2</f>
        <v>Basisszenario Earnings Simulation</v>
      </c>
      <c r="E47" s="270" t="str">
        <f>A23</f>
        <v>Stressszenario Earnings Simulation</v>
      </c>
      <c r="G47" s="270" t="str">
        <f>D47</f>
        <v>Basisszenario Earnings Simulation</v>
      </c>
      <c r="H47" s="270" t="str">
        <f>E47</f>
        <v>Stressszenario Earnings Simulation</v>
      </c>
    </row>
    <row r="48" spans="2:15" ht="14.4" thickBot="1" x14ac:dyDescent="0.3">
      <c r="D48" s="271" t="s">
        <v>281</v>
      </c>
      <c r="E48" s="271" t="s">
        <v>282</v>
      </c>
      <c r="G48" s="271" t="s">
        <v>281</v>
      </c>
      <c r="H48" s="271" t="s">
        <v>282</v>
      </c>
      <c r="J48" s="17" t="s">
        <v>30</v>
      </c>
    </row>
    <row r="49" spans="1:10" ht="14.4" thickBot="1" x14ac:dyDescent="0.3">
      <c r="C49" s="272" t="s">
        <v>27</v>
      </c>
      <c r="D49" s="273">
        <f>SUM(D50:D52)</f>
        <v>10841.628959276</v>
      </c>
      <c r="E49" s="273">
        <f>SUM(E50:E52)</f>
        <v>8786.5761689290812</v>
      </c>
      <c r="F49" s="274"/>
      <c r="G49" s="273">
        <f>SUM(G50:G52)</f>
        <v>6637.2549019607977</v>
      </c>
      <c r="H49" s="275">
        <f>SUM(H50:H52)</f>
        <v>4692.3076923077169</v>
      </c>
      <c r="J49" s="17" t="s">
        <v>30</v>
      </c>
    </row>
    <row r="50" spans="1:10" x14ac:dyDescent="0.25">
      <c r="C50" s="17" t="s">
        <v>24</v>
      </c>
      <c r="D50" s="276">
        <f>F15</f>
        <v>13500</v>
      </c>
      <c r="E50" s="276">
        <f>F36</f>
        <v>13500</v>
      </c>
      <c r="F50" s="67"/>
      <c r="G50" s="276">
        <f>I15</f>
        <v>13500.000000000029</v>
      </c>
      <c r="H50" s="276">
        <f>I36</f>
        <v>9500.0000000000291</v>
      </c>
      <c r="J50" s="17" t="s">
        <v>30</v>
      </c>
    </row>
    <row r="51" spans="1:10" x14ac:dyDescent="0.25">
      <c r="C51" s="17" t="s">
        <v>283</v>
      </c>
      <c r="D51" s="276">
        <v>0</v>
      </c>
      <c r="E51" s="276">
        <f>D35</f>
        <v>-3969.5921910128527</v>
      </c>
      <c r="F51" s="67"/>
      <c r="G51" s="276">
        <v>0</v>
      </c>
      <c r="H51" s="276">
        <f>G35</f>
        <v>0</v>
      </c>
      <c r="J51" s="17" t="s">
        <v>30</v>
      </c>
    </row>
    <row r="52" spans="1:10" x14ac:dyDescent="0.25">
      <c r="C52" s="17" t="s">
        <v>284</v>
      </c>
      <c r="D52" s="277">
        <f>I5*M16-C15</f>
        <v>-2658.3710407239996</v>
      </c>
      <c r="E52" s="277">
        <f>I26*M37-C35</f>
        <v>-743.83164005806611</v>
      </c>
      <c r="F52" s="67"/>
      <c r="G52" s="277">
        <f>100000-I5*M16</f>
        <v>-6862.7450980392314</v>
      </c>
      <c r="H52" s="277">
        <f>100000-I26*M37</f>
        <v>-4807.6923076923122</v>
      </c>
      <c r="J52" s="17" t="s">
        <v>30</v>
      </c>
    </row>
    <row r="54" spans="1:10" ht="14.4" thickBot="1" x14ac:dyDescent="0.3"/>
    <row r="55" spans="1:10" ht="14.4" thickBot="1" x14ac:dyDescent="0.3">
      <c r="D55" s="278" t="s">
        <v>29</v>
      </c>
      <c r="E55" s="279">
        <f>SUM(E56:E58)</f>
        <v>-2055.0527903469192</v>
      </c>
      <c r="G55" s="278" t="s">
        <v>29</v>
      </c>
      <c r="H55" s="279">
        <f>SUM(H56:H58)</f>
        <v>-1944.9472096530808</v>
      </c>
      <c r="I55" s="75" t="s">
        <v>31</v>
      </c>
    </row>
    <row r="56" spans="1:10" x14ac:dyDescent="0.25">
      <c r="D56" s="17" t="s">
        <v>25</v>
      </c>
      <c r="E56" s="280">
        <f>E50-D50</f>
        <v>0</v>
      </c>
      <c r="G56" s="17" t="s">
        <v>25</v>
      </c>
      <c r="H56" s="280">
        <f>H50-G50</f>
        <v>-4000</v>
      </c>
    </row>
    <row r="57" spans="1:10" x14ac:dyDescent="0.25">
      <c r="D57" s="17" t="s">
        <v>285</v>
      </c>
      <c r="E57" s="276">
        <f>E51-D51</f>
        <v>-3969.5921910128527</v>
      </c>
      <c r="G57" s="17" t="s">
        <v>285</v>
      </c>
      <c r="H57" s="276">
        <f>H51-G51</f>
        <v>0</v>
      </c>
    </row>
    <row r="58" spans="1:10" x14ac:dyDescent="0.25">
      <c r="D58" s="17" t="s">
        <v>286</v>
      </c>
      <c r="E58" s="277">
        <f>E52-D52</f>
        <v>1914.5394006659335</v>
      </c>
      <c r="G58" s="17" t="s">
        <v>286</v>
      </c>
      <c r="H58" s="277">
        <f>H52-G52</f>
        <v>2055.0527903469192</v>
      </c>
    </row>
    <row r="60" spans="1:10" s="282" customFormat="1" x14ac:dyDescent="0.25">
      <c r="A60" s="281" t="s">
        <v>287</v>
      </c>
      <c r="B60" s="281"/>
      <c r="C60" s="281"/>
      <c r="D60" s="281"/>
      <c r="E60" s="281"/>
      <c r="F60" s="281"/>
      <c r="G60" s="281"/>
      <c r="H60" s="281"/>
    </row>
    <row r="61" spans="1:10" x14ac:dyDescent="0.25">
      <c r="A61" s="50" t="str">
        <f>A3</f>
        <v>Exposure</v>
      </c>
      <c r="B61" s="50" t="str">
        <f>B3</f>
        <v>Geschäftsmodell</v>
      </c>
      <c r="C61" s="17" t="s">
        <v>288</v>
      </c>
      <c r="D61" s="17" t="s">
        <v>2</v>
      </c>
      <c r="F61" s="17" t="s">
        <v>3</v>
      </c>
      <c r="H61" s="17" t="s">
        <v>4</v>
      </c>
    </row>
    <row r="62" spans="1:10" x14ac:dyDescent="0.25">
      <c r="A62" s="50" t="str">
        <f>A5</f>
        <v>Bond-BB</v>
      </c>
      <c r="B62" s="50" t="str">
        <f>B5</f>
        <v>FVPL - HFT</v>
      </c>
      <c r="C62" s="283" t="s">
        <v>289</v>
      </c>
      <c r="D62" s="284">
        <f>C14</f>
        <v>109521.11613876323</v>
      </c>
      <c r="E62" s="285"/>
      <c r="F62" s="285">
        <f>F63</f>
        <v>106862.74509803923</v>
      </c>
      <c r="G62" s="285"/>
      <c r="H62" s="286"/>
    </row>
    <row r="63" spans="1:10" x14ac:dyDescent="0.25">
      <c r="C63" s="145" t="s">
        <v>290</v>
      </c>
      <c r="D63" s="287">
        <f>D62</f>
        <v>109521.11613876323</v>
      </c>
      <c r="E63" s="43"/>
      <c r="F63" s="43">
        <f>I5*M16</f>
        <v>106862.74509803923</v>
      </c>
      <c r="G63" s="43"/>
      <c r="H63" s="288">
        <f>-C5</f>
        <v>100000</v>
      </c>
    </row>
    <row r="64" spans="1:10" x14ac:dyDescent="0.25">
      <c r="C64" s="145"/>
      <c r="D64" s="287"/>
      <c r="E64" s="43" t="s">
        <v>60</v>
      </c>
      <c r="F64" s="43"/>
      <c r="G64" s="43" t="s">
        <v>61</v>
      </c>
      <c r="H64" s="288"/>
    </row>
    <row r="65" spans="1:34" x14ac:dyDescent="0.25">
      <c r="C65" s="145"/>
      <c r="D65" s="283" t="s">
        <v>285</v>
      </c>
      <c r="E65" s="284">
        <f>D63-D62</f>
        <v>0</v>
      </c>
      <c r="F65" s="285" t="s">
        <v>285</v>
      </c>
      <c r="G65" s="289">
        <f>F63-F62</f>
        <v>0</v>
      </c>
      <c r="H65" s="290"/>
    </row>
    <row r="66" spans="1:34" x14ac:dyDescent="0.25">
      <c r="C66" s="148"/>
      <c r="D66" s="148" t="s">
        <v>286</v>
      </c>
      <c r="E66" s="291">
        <f>F63-D63</f>
        <v>-2658.3710407239996</v>
      </c>
      <c r="F66" s="46" t="s">
        <v>286</v>
      </c>
      <c r="G66" s="292">
        <f>H63-F63</f>
        <v>-6862.7450980392314</v>
      </c>
      <c r="H66" s="293"/>
    </row>
    <row r="67" spans="1:34" x14ac:dyDescent="0.25">
      <c r="C67" s="283" t="s">
        <v>289</v>
      </c>
      <c r="D67" s="284">
        <f>D62</f>
        <v>109521.11613876323</v>
      </c>
      <c r="E67" s="285"/>
      <c r="F67" s="285">
        <f>F68</f>
        <v>104807.69230769231</v>
      </c>
      <c r="G67" s="285"/>
      <c r="H67" s="286"/>
    </row>
    <row r="68" spans="1:34" x14ac:dyDescent="0.25">
      <c r="C68" s="145" t="s">
        <v>291</v>
      </c>
      <c r="D68" s="287">
        <f>C35</f>
        <v>105551.52394775038</v>
      </c>
      <c r="E68" s="43"/>
      <c r="F68" s="43">
        <f>I26*M37</f>
        <v>104807.69230769231</v>
      </c>
      <c r="G68" s="43"/>
      <c r="H68" s="288">
        <f>H63</f>
        <v>100000</v>
      </c>
    </row>
    <row r="69" spans="1:34" x14ac:dyDescent="0.25">
      <c r="C69" s="145"/>
      <c r="D69" s="287"/>
      <c r="E69" s="43" t="s">
        <v>60</v>
      </c>
      <c r="F69" s="43"/>
      <c r="G69" s="43" t="s">
        <v>61</v>
      </c>
      <c r="H69" s="288"/>
    </row>
    <row r="70" spans="1:34" x14ac:dyDescent="0.25">
      <c r="C70" s="145"/>
      <c r="D70" s="283" t="s">
        <v>285</v>
      </c>
      <c r="E70" s="284">
        <f>D68-D67</f>
        <v>-3969.5921910128527</v>
      </c>
      <c r="F70" s="285" t="s">
        <v>285</v>
      </c>
      <c r="G70" s="289">
        <f>F68-F67</f>
        <v>0</v>
      </c>
      <c r="H70" s="290"/>
    </row>
    <row r="71" spans="1:34" x14ac:dyDescent="0.25">
      <c r="C71" s="148"/>
      <c r="D71" s="148" t="s">
        <v>286</v>
      </c>
      <c r="E71" s="291">
        <f>F68-D68</f>
        <v>-743.83164005806611</v>
      </c>
      <c r="F71" s="46" t="s">
        <v>286</v>
      </c>
      <c r="G71" s="292">
        <f>H68-F68</f>
        <v>-4807.6923076923122</v>
      </c>
      <c r="H71" s="293"/>
    </row>
    <row r="73" spans="1:34" ht="14.4" thickBot="1" x14ac:dyDescent="0.3">
      <c r="K73" s="387" t="s">
        <v>319</v>
      </c>
      <c r="L73" s="387"/>
      <c r="M73" s="387"/>
      <c r="N73" s="387"/>
      <c r="O73" s="387"/>
      <c r="S73" s="387" t="s">
        <v>293</v>
      </c>
      <c r="T73" s="387"/>
      <c r="U73" s="387"/>
      <c r="V73" s="387"/>
      <c r="W73" s="387"/>
      <c r="AA73" s="387" t="s">
        <v>294</v>
      </c>
      <c r="AB73" s="387"/>
      <c r="AC73" s="387"/>
      <c r="AD73" s="387"/>
      <c r="AE73" s="387"/>
    </row>
    <row r="74" spans="1:34" s="282" customFormat="1" x14ac:dyDescent="0.25">
      <c r="A74" s="281" t="s">
        <v>295</v>
      </c>
      <c r="B74" s="281"/>
      <c r="C74" s="281"/>
      <c r="D74" s="281"/>
      <c r="E74" s="281"/>
      <c r="F74" s="281"/>
      <c r="G74" s="281"/>
      <c r="H74" s="281"/>
      <c r="K74" s="39"/>
      <c r="L74" s="41" t="s">
        <v>6</v>
      </c>
      <c r="M74" s="41">
        <v>1</v>
      </c>
      <c r="N74" s="41">
        <v>2</v>
      </c>
      <c r="O74" s="42"/>
      <c r="P74" s="17"/>
      <c r="Q74" s="17"/>
      <c r="R74" s="17"/>
      <c r="S74" s="39"/>
      <c r="T74" s="41" t="s">
        <v>6</v>
      </c>
      <c r="U74" s="41">
        <v>1</v>
      </c>
      <c r="V74" s="41">
        <v>2</v>
      </c>
      <c r="W74" s="42"/>
      <c r="X74" s="17"/>
      <c r="Y74" s="17"/>
      <c r="AA74" s="39"/>
      <c r="AB74" s="41" t="s">
        <v>6</v>
      </c>
      <c r="AC74" s="41">
        <v>1</v>
      </c>
      <c r="AD74" s="41">
        <v>2</v>
      </c>
      <c r="AE74" s="42"/>
      <c r="AF74" s="17"/>
      <c r="AG74" s="17"/>
    </row>
    <row r="75" spans="1:34" x14ac:dyDescent="0.25">
      <c r="K75" s="365" t="s">
        <v>3</v>
      </c>
      <c r="L75" s="43" t="s">
        <v>7</v>
      </c>
      <c r="M75" s="43">
        <f>$M$3+P75</f>
        <v>0.04</v>
      </c>
      <c r="N75" s="43">
        <f>$N$3+Q75</f>
        <v>0.06</v>
      </c>
      <c r="O75" s="45"/>
      <c r="P75" s="17">
        <v>0.02</v>
      </c>
      <c r="Q75" s="17">
        <v>0.02</v>
      </c>
      <c r="R75" s="17" t="s">
        <v>70</v>
      </c>
      <c r="S75" s="365" t="s">
        <v>3</v>
      </c>
      <c r="T75" s="43" t="s">
        <v>7</v>
      </c>
      <c r="U75" s="43">
        <f>$M$3+X75</f>
        <v>0.04</v>
      </c>
      <c r="V75" s="43">
        <f>$N$3+Y75</f>
        <v>0.06</v>
      </c>
      <c r="W75" s="45"/>
      <c r="X75" s="17">
        <v>0.02</v>
      </c>
      <c r="Y75" s="17">
        <v>0.02</v>
      </c>
      <c r="Z75" s="17" t="s">
        <v>70</v>
      </c>
      <c r="AA75" s="365" t="s">
        <v>3</v>
      </c>
      <c r="AB75" s="43" t="s">
        <v>7</v>
      </c>
      <c r="AC75" s="43">
        <f>$M$3+AF75</f>
        <v>0.02</v>
      </c>
      <c r="AD75" s="43">
        <f>$N$3+AG75</f>
        <v>0.04</v>
      </c>
      <c r="AE75" s="45"/>
      <c r="AH75" s="17" t="s">
        <v>70</v>
      </c>
    </row>
    <row r="76" spans="1:34" x14ac:dyDescent="0.25">
      <c r="E76" s="43" t="s">
        <v>60</v>
      </c>
      <c r="F76" s="43"/>
      <c r="G76" s="43" t="s">
        <v>61</v>
      </c>
      <c r="K76" s="365"/>
      <c r="L76" s="43" t="s">
        <v>8</v>
      </c>
      <c r="M76" s="43">
        <f>$M$4+P76</f>
        <v>0.06</v>
      </c>
      <c r="N76" s="43">
        <f>$N$4+Q76</f>
        <v>0.08</v>
      </c>
      <c r="O76" s="45"/>
      <c r="P76" s="17">
        <v>0.03</v>
      </c>
      <c r="Q76" s="17">
        <v>0.03</v>
      </c>
      <c r="R76" s="17" t="s">
        <v>69</v>
      </c>
      <c r="S76" s="365"/>
      <c r="T76" s="43" t="s">
        <v>8</v>
      </c>
      <c r="U76" s="43">
        <f>$M$4+X76</f>
        <v>0.03</v>
      </c>
      <c r="V76" s="43">
        <f>$N$4+Y76</f>
        <v>0.05</v>
      </c>
      <c r="W76" s="45"/>
      <c r="Z76" s="17" t="s">
        <v>69</v>
      </c>
      <c r="AA76" s="365"/>
      <c r="AB76" s="43" t="s">
        <v>8</v>
      </c>
      <c r="AC76" s="43">
        <f>$M$4+AF76</f>
        <v>0.06</v>
      </c>
      <c r="AD76" s="43">
        <f>$N$4+AG76</f>
        <v>0.08</v>
      </c>
      <c r="AE76" s="45"/>
      <c r="AF76" s="17">
        <v>0.03</v>
      </c>
      <c r="AG76" s="17">
        <v>0.03</v>
      </c>
      <c r="AH76" s="17" t="s">
        <v>69</v>
      </c>
    </row>
    <row r="77" spans="1:34" x14ac:dyDescent="0.25">
      <c r="C77" s="35" t="s">
        <v>296</v>
      </c>
      <c r="D77" s="35"/>
      <c r="E77" s="294">
        <f>E55</f>
        <v>-2055.0527903469192</v>
      </c>
      <c r="F77" s="35"/>
      <c r="G77" s="294">
        <f>H55</f>
        <v>-1944.9472096530808</v>
      </c>
      <c r="K77" s="365"/>
      <c r="L77" s="43" t="s">
        <v>9</v>
      </c>
      <c r="M77" s="43">
        <f>$M$5+P77</f>
        <v>7.4999999999999997E-3</v>
      </c>
      <c r="N77" s="43">
        <f>$N$5+Q77</f>
        <v>0.01</v>
      </c>
      <c r="O77" s="45"/>
      <c r="P77" s="17">
        <v>5.0000000000000001E-3</v>
      </c>
      <c r="Q77" s="17">
        <v>5.0000000000000001E-3</v>
      </c>
      <c r="R77" s="17" t="s">
        <v>74</v>
      </c>
      <c r="S77" s="365"/>
      <c r="T77" s="43" t="s">
        <v>9</v>
      </c>
      <c r="U77" s="43">
        <f>$M$5+X77</f>
        <v>2.5000000000000001E-3</v>
      </c>
      <c r="V77" s="43">
        <f>$N$5+Y77</f>
        <v>5.0000000000000001E-3</v>
      </c>
      <c r="W77" s="45"/>
      <c r="Z77" s="17" t="s">
        <v>74</v>
      </c>
      <c r="AA77" s="365"/>
      <c r="AB77" s="43" t="s">
        <v>9</v>
      </c>
      <c r="AC77" s="43">
        <f>$M$5+AF77</f>
        <v>7.4999999999999997E-3</v>
      </c>
      <c r="AD77" s="43">
        <f>$N$5+AG77</f>
        <v>0.01</v>
      </c>
      <c r="AE77" s="45"/>
      <c r="AF77" s="17">
        <v>5.0000000000000001E-3</v>
      </c>
      <c r="AG77" s="17">
        <v>5.0000000000000001E-3</v>
      </c>
      <c r="AH77" s="17" t="s">
        <v>74</v>
      </c>
    </row>
    <row r="78" spans="1:34" x14ac:dyDescent="0.25">
      <c r="C78" s="46" t="s">
        <v>297</v>
      </c>
      <c r="D78" s="46"/>
      <c r="E78" s="291">
        <f>E86+E92</f>
        <v>-2055.0527903469192</v>
      </c>
      <c r="F78" s="46"/>
      <c r="G78" s="291">
        <f>G86+G92</f>
        <v>-1944.9472096530808</v>
      </c>
      <c r="K78" s="47"/>
      <c r="L78" s="43"/>
      <c r="M78" s="43">
        <v>1</v>
      </c>
      <c r="N78" s="43">
        <v>2</v>
      </c>
      <c r="O78" s="45"/>
      <c r="S78" s="47"/>
      <c r="T78" s="43"/>
      <c r="U78" s="43">
        <v>1</v>
      </c>
      <c r="V78" s="43">
        <v>2</v>
      </c>
      <c r="W78" s="45"/>
      <c r="AA78" s="47"/>
      <c r="AB78" s="43"/>
      <c r="AC78" s="43">
        <v>1</v>
      </c>
      <c r="AD78" s="43">
        <v>2</v>
      </c>
      <c r="AE78" s="45"/>
    </row>
    <row r="79" spans="1:34" x14ac:dyDescent="0.25">
      <c r="C79" s="17" t="s">
        <v>298</v>
      </c>
      <c r="E79" s="67"/>
      <c r="F79" s="67"/>
      <c r="G79" s="67"/>
      <c r="K79" s="47" t="s">
        <v>10</v>
      </c>
      <c r="L79" s="43" t="s">
        <v>7</v>
      </c>
      <c r="M79" s="43">
        <f>M75+P79</f>
        <v>0.04</v>
      </c>
      <c r="N79" s="43">
        <f>N75+Q79</f>
        <v>0.06</v>
      </c>
      <c r="O79" s="45"/>
      <c r="S79" s="47" t="s">
        <v>10</v>
      </c>
      <c r="T79" s="43" t="s">
        <v>7</v>
      </c>
      <c r="U79" s="43">
        <f>U75</f>
        <v>0.04</v>
      </c>
      <c r="V79" s="43">
        <f>V75</f>
        <v>0.06</v>
      </c>
      <c r="W79" s="45"/>
      <c r="AA79" s="47" t="s">
        <v>10</v>
      </c>
      <c r="AB79" s="43" t="s">
        <v>7</v>
      </c>
      <c r="AC79" s="43">
        <f>AC75</f>
        <v>0.02</v>
      </c>
      <c r="AD79" s="43">
        <f>AD75</f>
        <v>0.04</v>
      </c>
      <c r="AE79" s="45"/>
    </row>
    <row r="80" spans="1:34" x14ac:dyDescent="0.25">
      <c r="D80" s="50" t="s">
        <v>299</v>
      </c>
      <c r="E80" s="67">
        <f>E88+E94</f>
        <v>0</v>
      </c>
      <c r="G80" s="67">
        <f>G88+G94</f>
        <v>0</v>
      </c>
      <c r="K80" s="47"/>
      <c r="L80" s="43"/>
      <c r="M80" s="43">
        <v>1</v>
      </c>
      <c r="N80" s="43">
        <v>2</v>
      </c>
      <c r="O80" s="45"/>
      <c r="S80" s="47"/>
      <c r="T80" s="43"/>
      <c r="U80" s="43">
        <v>1</v>
      </c>
      <c r="V80" s="43">
        <v>2</v>
      </c>
      <c r="W80" s="45"/>
      <c r="AA80" s="47"/>
      <c r="AB80" s="43"/>
      <c r="AC80" s="43">
        <v>1</v>
      </c>
      <c r="AD80" s="43">
        <v>2</v>
      </c>
      <c r="AE80" s="45"/>
    </row>
    <row r="81" spans="1:31" ht="27.75" customHeight="1" x14ac:dyDescent="0.25">
      <c r="C81" s="398" t="s">
        <v>300</v>
      </c>
      <c r="D81" s="398"/>
      <c r="E81" s="291">
        <f>E89+E95</f>
        <v>0</v>
      </c>
      <c r="F81" s="46"/>
      <c r="G81" s="291">
        <f>G89+G95</f>
        <v>0</v>
      </c>
      <c r="K81" s="47"/>
      <c r="L81" s="43" t="s">
        <v>11</v>
      </c>
      <c r="M81" s="43">
        <f>M75+M76+P81</f>
        <v>0.1</v>
      </c>
      <c r="N81" s="43">
        <f>N75+N76</f>
        <v>0.14000000000000001</v>
      </c>
      <c r="O81" s="45"/>
      <c r="S81" s="47"/>
      <c r="T81" s="43" t="s">
        <v>11</v>
      </c>
      <c r="U81" s="43">
        <f>U75+U76+X81</f>
        <v>7.0000000000000007E-2</v>
      </c>
      <c r="V81" s="43">
        <f>V75+V76</f>
        <v>0.11</v>
      </c>
      <c r="W81" s="45"/>
      <c r="AA81" s="47"/>
      <c r="AB81" s="43" t="s">
        <v>11</v>
      </c>
      <c r="AC81" s="43">
        <f>AC75+AC76</f>
        <v>0.08</v>
      </c>
      <c r="AD81" s="43">
        <f>AD75+AD76</f>
        <v>0.12</v>
      </c>
      <c r="AE81" s="45"/>
    </row>
    <row r="82" spans="1:31" x14ac:dyDescent="0.25">
      <c r="C82" s="17" t="s">
        <v>301</v>
      </c>
      <c r="E82" s="62">
        <f>E77-(E80+E78+E81)</f>
        <v>0</v>
      </c>
      <c r="F82" s="62"/>
      <c r="G82" s="62">
        <f>G77-(G80+G78+G81)</f>
        <v>0</v>
      </c>
      <c r="K82" s="47"/>
      <c r="L82" s="43"/>
      <c r="M82" s="43">
        <v>1</v>
      </c>
      <c r="N82" s="43">
        <v>2</v>
      </c>
      <c r="O82" s="45"/>
      <c r="S82" s="47"/>
      <c r="T82" s="43"/>
      <c r="U82" s="43">
        <v>1</v>
      </c>
      <c r="V82" s="43">
        <v>2</v>
      </c>
      <c r="W82" s="45"/>
      <c r="AA82" s="47"/>
      <c r="AB82" s="43"/>
      <c r="AC82" s="43">
        <v>1</v>
      </c>
      <c r="AD82" s="43">
        <v>2</v>
      </c>
      <c r="AE82" s="45"/>
    </row>
    <row r="83" spans="1:31" x14ac:dyDescent="0.25">
      <c r="K83" s="47"/>
      <c r="L83" s="43" t="s">
        <v>12</v>
      </c>
      <c r="M83" s="43">
        <f>M75+M77</f>
        <v>4.7500000000000001E-2</v>
      </c>
      <c r="N83" s="43">
        <f>N75+N77</f>
        <v>6.9999999999999993E-2</v>
      </c>
      <c r="O83" s="45"/>
      <c r="S83" s="47"/>
      <c r="T83" s="43" t="s">
        <v>12</v>
      </c>
      <c r="U83" s="43">
        <f>U75+U77</f>
        <v>4.2500000000000003E-2</v>
      </c>
      <c r="V83" s="43">
        <f>V75+V77</f>
        <v>6.5000000000000002E-2</v>
      </c>
      <c r="W83" s="45"/>
      <c r="AA83" s="47"/>
      <c r="AB83" s="43" t="s">
        <v>12</v>
      </c>
      <c r="AC83" s="43">
        <f>AC75+AC77</f>
        <v>2.75E-2</v>
      </c>
      <c r="AD83" s="43">
        <f>AD75+AD77</f>
        <v>0.05</v>
      </c>
      <c r="AE83" s="45"/>
    </row>
    <row r="84" spans="1:31" x14ac:dyDescent="0.25">
      <c r="E84" s="43" t="s">
        <v>60</v>
      </c>
      <c r="F84" s="43"/>
      <c r="G84" s="43" t="s">
        <v>61</v>
      </c>
      <c r="K84" s="47"/>
      <c r="L84" s="43"/>
      <c r="M84" s="43"/>
      <c r="N84" s="43"/>
      <c r="O84" s="45"/>
      <c r="S84" s="47"/>
      <c r="T84" s="43"/>
      <c r="U84" s="43"/>
      <c r="V84" s="43"/>
      <c r="W84" s="45"/>
      <c r="AA84" s="47"/>
      <c r="AB84" s="43"/>
      <c r="AC84" s="43"/>
      <c r="AD84" s="43"/>
      <c r="AE84" s="45"/>
    </row>
    <row r="85" spans="1:31" x14ac:dyDescent="0.25">
      <c r="A85" s="50" t="s">
        <v>0</v>
      </c>
      <c r="B85" s="50" t="s">
        <v>13</v>
      </c>
      <c r="C85" s="295" t="s">
        <v>25</v>
      </c>
      <c r="D85" s="295"/>
      <c r="E85" s="296">
        <f>SUM(E86:E89)</f>
        <v>0</v>
      </c>
      <c r="F85" s="296"/>
      <c r="G85" s="296">
        <f>SUM(G86:G89)</f>
        <v>-4000</v>
      </c>
      <c r="K85" s="47"/>
      <c r="L85" s="43"/>
      <c r="M85" s="43">
        <v>1</v>
      </c>
      <c r="N85" s="43">
        <v>2</v>
      </c>
      <c r="O85" s="45"/>
      <c r="S85" s="47"/>
      <c r="T85" s="43"/>
      <c r="U85" s="43">
        <v>1</v>
      </c>
      <c r="V85" s="43">
        <v>2</v>
      </c>
      <c r="W85" s="45"/>
      <c r="AA85" s="47"/>
      <c r="AB85" s="43"/>
      <c r="AC85" s="43">
        <v>1</v>
      </c>
      <c r="AD85" s="43">
        <v>2</v>
      </c>
      <c r="AE85" s="45"/>
    </row>
    <row r="86" spans="1:31" x14ac:dyDescent="0.25">
      <c r="A86" s="50" t="s">
        <v>26</v>
      </c>
      <c r="B86" s="50" t="s">
        <v>302</v>
      </c>
      <c r="C86" s="297" t="s">
        <v>303</v>
      </c>
      <c r="D86" s="298"/>
      <c r="E86" s="299">
        <v>0</v>
      </c>
      <c r="F86" s="299"/>
      <c r="G86" s="299">
        <f>-$F$34*P24</f>
        <v>-4000</v>
      </c>
      <c r="K86" s="47" t="s">
        <v>10</v>
      </c>
      <c r="L86" s="43" t="s">
        <v>7</v>
      </c>
      <c r="M86" s="43">
        <f>1/(1+M79)</f>
        <v>0.96153846153846145</v>
      </c>
      <c r="N86" s="43">
        <f>(1-N79*SUM(M86:M86))/(1+N79)</f>
        <v>0.88896952104499272</v>
      </c>
      <c r="O86" s="45"/>
      <c r="S86" s="47" t="s">
        <v>10</v>
      </c>
      <c r="T86" s="43" t="s">
        <v>7</v>
      </c>
      <c r="U86" s="43">
        <f>1/(1+U79)</f>
        <v>0.96153846153846145</v>
      </c>
      <c r="V86" s="43">
        <f>(1-V79*SUM(U86:U86))/(1+V79)</f>
        <v>0.88896952104499272</v>
      </c>
      <c r="W86" s="45"/>
      <c r="AA86" s="47" t="s">
        <v>10</v>
      </c>
      <c r="AB86" s="43" t="s">
        <v>7</v>
      </c>
      <c r="AC86" s="43">
        <f>1/(1+AC79)</f>
        <v>0.98039215686274506</v>
      </c>
      <c r="AD86" s="43">
        <f>(1-AD79*SUM(AC86:AC86))/(1+AD79)</f>
        <v>0.92383107088989447</v>
      </c>
      <c r="AE86" s="45"/>
    </row>
    <row r="87" spans="1:31" x14ac:dyDescent="0.25">
      <c r="C87" s="90" t="s">
        <v>304</v>
      </c>
      <c r="D87" s="50"/>
      <c r="E87" s="62"/>
      <c r="F87" s="62"/>
      <c r="G87" s="62"/>
      <c r="K87" s="47"/>
      <c r="L87" s="43"/>
      <c r="M87" s="43">
        <v>1</v>
      </c>
      <c r="N87" s="43">
        <v>2</v>
      </c>
      <c r="O87" s="45"/>
      <c r="S87" s="47"/>
      <c r="T87" s="43"/>
      <c r="U87" s="43">
        <v>1</v>
      </c>
      <c r="V87" s="43">
        <v>2</v>
      </c>
      <c r="W87" s="45"/>
      <c r="AA87" s="47"/>
      <c r="AB87" s="43"/>
      <c r="AC87" s="43">
        <v>1</v>
      </c>
      <c r="AD87" s="43">
        <v>2</v>
      </c>
      <c r="AE87" s="45"/>
    </row>
    <row r="88" spans="1:31" x14ac:dyDescent="0.25">
      <c r="D88" s="50" t="s">
        <v>299</v>
      </c>
      <c r="E88" s="62"/>
      <c r="F88" s="62"/>
      <c r="G88" s="62"/>
      <c r="K88" s="47"/>
      <c r="L88" s="43"/>
      <c r="M88" s="43"/>
      <c r="N88" s="43"/>
      <c r="O88" s="45"/>
      <c r="S88" s="47"/>
      <c r="T88" s="43"/>
      <c r="U88" s="43"/>
      <c r="V88" s="43"/>
      <c r="W88" s="45"/>
      <c r="AA88" s="47"/>
      <c r="AB88" s="43"/>
      <c r="AC88" s="43"/>
      <c r="AD88" s="43"/>
      <c r="AE88" s="45"/>
    </row>
    <row r="89" spans="1:31" ht="27" customHeight="1" x14ac:dyDescent="0.25">
      <c r="C89" s="399" t="s">
        <v>300</v>
      </c>
      <c r="D89" s="399"/>
      <c r="E89" s="62">
        <v>0</v>
      </c>
      <c r="F89" s="62"/>
      <c r="G89" s="62">
        <f>-$F$34*P26</f>
        <v>0</v>
      </c>
      <c r="K89" s="47"/>
      <c r="L89" s="43" t="s">
        <v>11</v>
      </c>
      <c r="M89" s="43">
        <f>1/(1+M81)</f>
        <v>0.90909090909090906</v>
      </c>
      <c r="N89" s="43">
        <f>(1-N83*SUM(M89:M89))/(1+N83)</f>
        <v>0.87510620220900592</v>
      </c>
      <c r="O89" s="45"/>
      <c r="S89" s="47"/>
      <c r="T89" s="43" t="s">
        <v>11</v>
      </c>
      <c r="U89" s="43">
        <f>1/(1+U81)</f>
        <v>0.93457943925233644</v>
      </c>
      <c r="V89" s="43">
        <f>(1-V83*SUM(U89:U89))/(1+V83)</f>
        <v>0.88192707647755697</v>
      </c>
      <c r="W89" s="45"/>
      <c r="AA89" s="47"/>
      <c r="AB89" s="43" t="s">
        <v>11</v>
      </c>
      <c r="AC89" s="43">
        <f>1/(1+AC81)</f>
        <v>0.92592592592592582</v>
      </c>
      <c r="AD89" s="43">
        <f>(1-AD83*SUM(AC89:AC89))/(1+AD83)</f>
        <v>0.90828924162257496</v>
      </c>
      <c r="AE89" s="45"/>
    </row>
    <row r="90" spans="1:31" x14ac:dyDescent="0.25">
      <c r="E90" s="62"/>
      <c r="F90" s="62"/>
      <c r="G90" s="62"/>
      <c r="K90" s="47"/>
      <c r="L90" s="43"/>
      <c r="M90" s="43">
        <v>1</v>
      </c>
      <c r="N90" s="43">
        <v>2</v>
      </c>
      <c r="O90" s="45"/>
      <c r="S90" s="47"/>
      <c r="T90" s="43"/>
      <c r="U90" s="43">
        <v>1</v>
      </c>
      <c r="V90" s="43">
        <v>2</v>
      </c>
      <c r="W90" s="45"/>
      <c r="AA90" s="47"/>
      <c r="AB90" s="43"/>
      <c r="AC90" s="43">
        <v>1</v>
      </c>
      <c r="AD90" s="43">
        <v>2</v>
      </c>
      <c r="AE90" s="45"/>
    </row>
    <row r="91" spans="1:31" ht="14.4" thickBot="1" x14ac:dyDescent="0.3">
      <c r="A91" s="50" t="str">
        <f>A61</f>
        <v>Exposure</v>
      </c>
      <c r="B91" s="50" t="str">
        <f>B61</f>
        <v>Geschäftsmodell</v>
      </c>
      <c r="C91" s="35" t="s">
        <v>28</v>
      </c>
      <c r="D91" s="35"/>
      <c r="E91" s="300">
        <f>(F68-$D$67)-($F$63-$D$62)</f>
        <v>-2055.0527903469192</v>
      </c>
      <c r="F91" s="300"/>
      <c r="G91" s="300">
        <f>(H68-$F$67)-($H$63-$F$62)</f>
        <v>2055.0527903469192</v>
      </c>
      <c r="K91" s="69"/>
      <c r="L91" s="70" t="s">
        <v>12</v>
      </c>
      <c r="M91" s="70">
        <f>1/(1+M83)</f>
        <v>0.95465393794749398</v>
      </c>
      <c r="N91" s="70">
        <f>(1-N83*SUM(M91:M91))/(1+N83)</f>
        <v>0.87212544331184616</v>
      </c>
      <c r="O91" s="71"/>
      <c r="S91" s="69"/>
      <c r="T91" s="70" t="s">
        <v>12</v>
      </c>
      <c r="U91" s="70">
        <f>1/(1+U83)</f>
        <v>0.95923261390887293</v>
      </c>
      <c r="V91" s="70">
        <f>(1-V83*SUM(U91:U91))/(1+V83)</f>
        <v>0.88042242262528003</v>
      </c>
      <c r="W91" s="71"/>
      <c r="AA91" s="69"/>
      <c r="AB91" s="70" t="s">
        <v>12</v>
      </c>
      <c r="AC91" s="70">
        <f>1/(1+AC83)</f>
        <v>0.97323600973236002</v>
      </c>
      <c r="AD91" s="70">
        <f>(1-AD83*SUM(AC91:AC91))/(1+AD83)</f>
        <v>0.9060363804889352</v>
      </c>
      <c r="AE91" s="71"/>
    </row>
    <row r="92" spans="1:31" x14ac:dyDescent="0.25">
      <c r="A92" s="50" t="str">
        <f>A62</f>
        <v>Bond-BB</v>
      </c>
      <c r="B92" s="50" t="str">
        <f>B62</f>
        <v>FVPL - HFT</v>
      </c>
      <c r="C92" s="297" t="s">
        <v>303</v>
      </c>
      <c r="D92" s="298"/>
      <c r="E92" s="299">
        <f>(I5*M86-$D$67)-($F$63-$D$62)</f>
        <v>-2055.0527903469192</v>
      </c>
      <c r="F92" s="299"/>
      <c r="G92" s="299">
        <f>($H$68-$I$5 *M86)-($H$63-$F$62)</f>
        <v>2055.0527903469192</v>
      </c>
    </row>
    <row r="93" spans="1:31" x14ac:dyDescent="0.25">
      <c r="C93" s="90" t="s">
        <v>304</v>
      </c>
      <c r="D93" s="50"/>
      <c r="E93" s="62"/>
      <c r="F93" s="62"/>
      <c r="G93" s="62"/>
      <c r="K93" s="393" t="s">
        <v>305</v>
      </c>
      <c r="L93" s="393"/>
      <c r="M93" s="393"/>
      <c r="N93" s="393"/>
      <c r="O93" s="393"/>
    </row>
    <row r="94" spans="1:31" x14ac:dyDescent="0.25">
      <c r="D94" s="50" t="s">
        <v>299</v>
      </c>
      <c r="E94" s="62">
        <f>(I5*AC86-$D$67)-($F$63-$D$62)</f>
        <v>0</v>
      </c>
      <c r="F94" s="62"/>
      <c r="G94" s="62">
        <f>($H$68-$I$5 *AC86)-($H$63-$F$62)</f>
        <v>0</v>
      </c>
      <c r="K94" s="283"/>
      <c r="L94" s="285" t="s">
        <v>306</v>
      </c>
      <c r="M94" s="285"/>
      <c r="N94" s="285" t="s">
        <v>3</v>
      </c>
      <c r="O94" s="286"/>
    </row>
    <row r="95" spans="1:31" ht="26.25" customHeight="1" x14ac:dyDescent="0.25">
      <c r="C95" s="398" t="s">
        <v>300</v>
      </c>
      <c r="D95" s="398"/>
      <c r="E95" s="64">
        <v>0</v>
      </c>
      <c r="F95" s="64"/>
      <c r="G95" s="64">
        <v>0</v>
      </c>
      <c r="K95" s="283" t="s">
        <v>307</v>
      </c>
      <c r="L95" s="301">
        <f>C14</f>
        <v>109521.11613876323</v>
      </c>
      <c r="M95" s="285"/>
      <c r="N95" s="331">
        <f>I5*M16</f>
        <v>106862.74509803923</v>
      </c>
      <c r="O95" s="302" t="s">
        <v>320</v>
      </c>
    </row>
    <row r="96" spans="1:31" x14ac:dyDescent="0.25">
      <c r="C96" s="17" t="s">
        <v>301</v>
      </c>
      <c r="E96" s="62">
        <f>E91-(E94+E92)</f>
        <v>0</v>
      </c>
      <c r="F96" s="62"/>
      <c r="G96" s="62">
        <f>G91-(G94+G92)</f>
        <v>0</v>
      </c>
      <c r="K96" s="145"/>
      <c r="L96" s="303" t="s">
        <v>309</v>
      </c>
      <c r="M96" s="100">
        <f>N95-L95</f>
        <v>-2658.3710407239996</v>
      </c>
      <c r="N96" s="334"/>
      <c r="O96" s="302"/>
    </row>
    <row r="97" spans="1:15" x14ac:dyDescent="0.25">
      <c r="E97" s="62"/>
      <c r="F97" s="62"/>
      <c r="G97" s="62"/>
      <c r="K97" s="145" t="s">
        <v>321</v>
      </c>
      <c r="L97" s="100">
        <f>L95</f>
        <v>109521.11613876323</v>
      </c>
      <c r="M97" s="100"/>
      <c r="N97" s="334">
        <f>$I$5*M86</f>
        <v>104807.69230769231</v>
      </c>
      <c r="O97" s="302" t="s">
        <v>322</v>
      </c>
    </row>
    <row r="98" spans="1:15" x14ac:dyDescent="0.25">
      <c r="A98" s="35" t="s">
        <v>312</v>
      </c>
      <c r="B98" s="35"/>
      <c r="K98" s="145"/>
      <c r="L98" s="303" t="s">
        <v>309</v>
      </c>
      <c r="M98" s="55">
        <f>N97-L97</f>
        <v>-4713.4238310709188</v>
      </c>
      <c r="N98" s="293"/>
      <c r="O98" s="290"/>
    </row>
    <row r="99" spans="1:15" x14ac:dyDescent="0.25">
      <c r="A99" s="50" t="str">
        <f>A61</f>
        <v>Exposure</v>
      </c>
      <c r="B99" s="50" t="str">
        <f>B61</f>
        <v>Geschäftsmodell</v>
      </c>
      <c r="C99" s="35" t="s">
        <v>285</v>
      </c>
      <c r="D99" s="35"/>
      <c r="E99" s="300">
        <f>($F$5*M86+$I$5*N86-$C$14)-$D$51</f>
        <v>-3969.5921910128527</v>
      </c>
      <c r="F99" s="300"/>
      <c r="G99" s="300">
        <v>0</v>
      </c>
      <c r="K99" s="148"/>
      <c r="L99" s="54" t="s">
        <v>323</v>
      </c>
      <c r="M99" s="55">
        <f>M98-M96</f>
        <v>-2055.0527903469192</v>
      </c>
      <c r="N99" s="293"/>
      <c r="O99" s="290"/>
    </row>
    <row r="100" spans="1:15" x14ac:dyDescent="0.25">
      <c r="A100" s="50" t="str">
        <f>A62</f>
        <v>Bond-BB</v>
      </c>
      <c r="B100" s="50" t="str">
        <f>B62</f>
        <v>FVPL - HFT</v>
      </c>
      <c r="C100" s="297" t="s">
        <v>303</v>
      </c>
      <c r="D100" s="298"/>
      <c r="E100" s="299">
        <f>($F$5*U86+$I$5*V86-$C$14)-$D$51</f>
        <v>-3969.5921910128527</v>
      </c>
      <c r="F100" s="299"/>
      <c r="G100" s="299">
        <v>0</v>
      </c>
      <c r="K100" s="145"/>
      <c r="L100" s="43"/>
      <c r="M100" s="100"/>
      <c r="N100" s="43"/>
      <c r="O100" s="290"/>
    </row>
    <row r="101" spans="1:15" x14ac:dyDescent="0.25">
      <c r="C101" s="90" t="s">
        <v>304</v>
      </c>
      <c r="D101" s="50"/>
      <c r="E101" s="62"/>
      <c r="F101" s="62"/>
      <c r="G101" s="62"/>
      <c r="K101" s="145" t="s">
        <v>113</v>
      </c>
      <c r="L101" s="304">
        <f>C14</f>
        <v>109521.11613876323</v>
      </c>
      <c r="M101" s="100"/>
      <c r="N101" s="334">
        <f>$I$5*U86</f>
        <v>104807.69230769231</v>
      </c>
      <c r="O101" s="302" t="s">
        <v>322</v>
      </c>
    </row>
    <row r="102" spans="1:15" x14ac:dyDescent="0.25">
      <c r="D102" s="50" t="s">
        <v>299</v>
      </c>
      <c r="E102" s="62">
        <f>($F$5*AC86+$I$5*AD86-$C$14)-$D$51</f>
        <v>0</v>
      </c>
      <c r="F102" s="62"/>
      <c r="G102" s="62">
        <v>0</v>
      </c>
      <c r="K102" s="145" t="s">
        <v>315</v>
      </c>
      <c r="L102" s="303" t="s">
        <v>309</v>
      </c>
      <c r="M102" s="55">
        <f>N101-L101</f>
        <v>-4713.4238310709188</v>
      </c>
      <c r="N102" s="46"/>
      <c r="O102" s="290"/>
    </row>
    <row r="103" spans="1:15" ht="15" customHeight="1" x14ac:dyDescent="0.25">
      <c r="C103" s="398" t="s">
        <v>300</v>
      </c>
      <c r="D103" s="398"/>
      <c r="E103" s="64">
        <v>0</v>
      </c>
      <c r="F103" s="64"/>
      <c r="G103" s="64">
        <v>0</v>
      </c>
      <c r="K103" s="145"/>
      <c r="L103" s="46" t="s">
        <v>313</v>
      </c>
      <c r="M103" s="100">
        <f>M102-M96</f>
        <v>-2055.0527903469192</v>
      </c>
      <c r="N103" s="43"/>
      <c r="O103" s="290"/>
    </row>
    <row r="104" spans="1:15" x14ac:dyDescent="0.25">
      <c r="C104" s="17" t="s">
        <v>301</v>
      </c>
      <c r="E104" s="62">
        <f>E99-(E102+E100)</f>
        <v>0</v>
      </c>
      <c r="F104" s="62"/>
      <c r="G104" s="62">
        <v>0</v>
      </c>
      <c r="K104" s="145"/>
      <c r="L104" s="43"/>
      <c r="M104" s="100"/>
      <c r="N104" s="43"/>
      <c r="O104" s="290"/>
    </row>
    <row r="105" spans="1:15" x14ac:dyDescent="0.25">
      <c r="K105" s="145" t="s">
        <v>113</v>
      </c>
      <c r="L105" s="335" t="s">
        <v>324</v>
      </c>
      <c r="M105" s="100"/>
      <c r="N105" s="336" t="s">
        <v>324</v>
      </c>
      <c r="O105" s="302" t="s">
        <v>325</v>
      </c>
    </row>
    <row r="106" spans="1:15" x14ac:dyDescent="0.25">
      <c r="A106" s="50" t="str">
        <f>A99</f>
        <v>Exposure</v>
      </c>
      <c r="B106" s="50" t="str">
        <f>B99</f>
        <v>Geschäftsmodell</v>
      </c>
      <c r="C106" s="35" t="s">
        <v>317</v>
      </c>
      <c r="D106" s="35"/>
      <c r="E106" s="300">
        <f>($I$5*M86-($F$5*M86+$I$5*N86))-D52</f>
        <v>1914.5394006659335</v>
      </c>
      <c r="F106" s="300"/>
      <c r="G106" s="300">
        <f>(-$C$5-$I$5*M86)-G52</f>
        <v>2055.0527903469192</v>
      </c>
      <c r="K106" s="145" t="s">
        <v>318</v>
      </c>
      <c r="L106" s="303" t="s">
        <v>309</v>
      </c>
      <c r="M106" s="55"/>
      <c r="N106" s="46"/>
      <c r="O106" s="290"/>
    </row>
    <row r="107" spans="1:15" x14ac:dyDescent="0.25">
      <c r="A107" s="50" t="str">
        <f>A100</f>
        <v>Bond-BB</v>
      </c>
      <c r="B107" s="50" t="str">
        <f>B100</f>
        <v>FVPL - HFT</v>
      </c>
      <c r="C107" s="297" t="s">
        <v>303</v>
      </c>
      <c r="D107" s="298"/>
      <c r="E107" s="299">
        <f>($I$5*U86-($F$5*U86+$I$5*V86))-$D$52</f>
        <v>1914.5394006659335</v>
      </c>
      <c r="F107" s="299"/>
      <c r="G107" s="299">
        <f>(-$C$5-$I$5*U86)-G52</f>
        <v>2055.0527903469192</v>
      </c>
      <c r="K107" s="145"/>
      <c r="L107" s="46" t="s">
        <v>313</v>
      </c>
      <c r="M107" s="337" t="s">
        <v>324</v>
      </c>
      <c r="N107" s="43"/>
      <c r="O107" s="290"/>
    </row>
    <row r="108" spans="1:15" x14ac:dyDescent="0.25">
      <c r="C108" s="90" t="s">
        <v>304</v>
      </c>
      <c r="D108" s="50"/>
      <c r="E108" s="62"/>
      <c r="F108" s="62"/>
      <c r="G108" s="62"/>
      <c r="K108" s="145"/>
      <c r="L108" s="43"/>
      <c r="M108" s="100"/>
      <c r="N108" s="43"/>
      <c r="O108" s="290"/>
    </row>
    <row r="109" spans="1:15" x14ac:dyDescent="0.25">
      <c r="D109" s="50" t="s">
        <v>299</v>
      </c>
      <c r="E109" s="62">
        <f>($I$5*AC86-($F$5*AC86+$I$5*AD86))-$D$52</f>
        <v>0</v>
      </c>
      <c r="F109" s="62"/>
      <c r="G109" s="62">
        <f>(-$C$5-$I$5*AC86)-G52</f>
        <v>0</v>
      </c>
      <c r="K109" s="148" t="s">
        <v>301</v>
      </c>
      <c r="L109" s="46"/>
      <c r="M109" s="338" t="s">
        <v>324</v>
      </c>
      <c r="N109" s="46"/>
      <c r="O109" s="293"/>
    </row>
    <row r="110" spans="1:15" ht="41.4" x14ac:dyDescent="0.25">
      <c r="C110" s="305" t="s">
        <v>300</v>
      </c>
      <c r="D110" s="305"/>
      <c r="E110" s="64">
        <v>0</v>
      </c>
      <c r="F110" s="64"/>
      <c r="G110" s="64">
        <v>0</v>
      </c>
    </row>
    <row r="111" spans="1:15" x14ac:dyDescent="0.25">
      <c r="C111" s="17" t="s">
        <v>301</v>
      </c>
      <c r="E111" s="62">
        <f>E106-(E109+E107)</f>
        <v>0</v>
      </c>
      <c r="F111" s="62"/>
      <c r="G111" s="62">
        <f>G106-(G109+G107)</f>
        <v>0</v>
      </c>
    </row>
  </sheetData>
  <mergeCells count="19">
    <mergeCell ref="C81:D81"/>
    <mergeCell ref="C89:D89"/>
    <mergeCell ref="K93:O93"/>
    <mergeCell ref="C95:D95"/>
    <mergeCell ref="C103:D103"/>
    <mergeCell ref="K75:K77"/>
    <mergeCell ref="S75:S77"/>
    <mergeCell ref="AA75:AA77"/>
    <mergeCell ref="A2:J2"/>
    <mergeCell ref="K3:K6"/>
    <mergeCell ref="G16:I19"/>
    <mergeCell ref="A23:J23"/>
    <mergeCell ref="K24:K27"/>
    <mergeCell ref="G37:I40"/>
    <mergeCell ref="D46:E46"/>
    <mergeCell ref="G46:H46"/>
    <mergeCell ref="K73:O73"/>
    <mergeCell ref="S73:W73"/>
    <mergeCell ref="AA73:AE7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workbookViewId="0">
      <selection activeCell="L10" sqref="L10"/>
    </sheetView>
  </sheetViews>
  <sheetFormatPr baseColWidth="10" defaultRowHeight="14.4" x14ac:dyDescent="0.3"/>
  <cols>
    <col min="1" max="10" width="11.5546875" style="17"/>
    <col min="11" max="12" width="12.6640625" style="17" bestFit="1" customWidth="1"/>
    <col min="13" max="14" width="11.5546875" style="17"/>
  </cols>
  <sheetData>
    <row r="1" spans="1:12" ht="17.399999999999999" x14ac:dyDescent="0.3">
      <c r="A1" s="18" t="s">
        <v>199</v>
      </c>
    </row>
    <row r="2" spans="1:12" ht="15" thickBot="1" x14ac:dyDescent="0.35"/>
    <row r="3" spans="1:12" ht="16.2" thickBot="1" x14ac:dyDescent="0.35">
      <c r="B3" s="22"/>
      <c r="C3" s="23" t="s">
        <v>32</v>
      </c>
      <c r="D3" s="23" t="s">
        <v>36</v>
      </c>
      <c r="E3" s="23" t="s">
        <v>37</v>
      </c>
      <c r="F3" s="23" t="s">
        <v>38</v>
      </c>
      <c r="G3" s="23" t="s">
        <v>47</v>
      </c>
      <c r="I3" s="355" t="s">
        <v>44</v>
      </c>
      <c r="J3" s="356"/>
      <c r="K3" s="28" t="s">
        <v>3</v>
      </c>
      <c r="L3" s="28" t="s">
        <v>4</v>
      </c>
    </row>
    <row r="4" spans="1:12" ht="32.4" thickTop="1" thickBot="1" x14ac:dyDescent="0.35">
      <c r="B4" s="24" t="s">
        <v>35</v>
      </c>
      <c r="C4" s="25" t="s">
        <v>234</v>
      </c>
      <c r="D4" s="25" t="s">
        <v>11</v>
      </c>
      <c r="E4" s="26">
        <v>100000</v>
      </c>
      <c r="F4" s="25">
        <v>2</v>
      </c>
      <c r="G4" s="27">
        <v>0.09</v>
      </c>
      <c r="I4" s="357" t="s">
        <v>49</v>
      </c>
      <c r="J4" s="358"/>
      <c r="K4" s="16">
        <v>0.02</v>
      </c>
      <c r="L4" s="16">
        <v>0.04</v>
      </c>
    </row>
    <row r="5" spans="1:12" ht="31.8" thickBot="1" x14ac:dyDescent="0.35">
      <c r="B5" s="24" t="s">
        <v>34</v>
      </c>
      <c r="C5" s="25" t="s">
        <v>235</v>
      </c>
      <c r="D5" s="25" t="s">
        <v>11</v>
      </c>
      <c r="E5" s="26">
        <v>100000</v>
      </c>
      <c r="F5" s="25">
        <v>2</v>
      </c>
      <c r="G5" s="27">
        <v>0.09</v>
      </c>
      <c r="I5" s="359" t="s">
        <v>237</v>
      </c>
      <c r="J5" s="29" t="s">
        <v>11</v>
      </c>
      <c r="K5" s="14">
        <v>0.03</v>
      </c>
      <c r="L5" s="14">
        <v>0.05</v>
      </c>
    </row>
    <row r="6" spans="1:12" ht="31.8" thickBot="1" x14ac:dyDescent="0.35">
      <c r="B6" s="24" t="s">
        <v>33</v>
      </c>
      <c r="C6" s="25" t="s">
        <v>236</v>
      </c>
      <c r="D6" s="25" t="s">
        <v>12</v>
      </c>
      <c r="E6" s="26">
        <v>200000</v>
      </c>
      <c r="F6" s="25">
        <v>1</v>
      </c>
      <c r="G6" s="27">
        <v>2.2499999999999999E-2</v>
      </c>
      <c r="I6" s="360"/>
      <c r="J6" s="30" t="s">
        <v>12</v>
      </c>
      <c r="K6" s="16">
        <v>2.5000000000000001E-3</v>
      </c>
      <c r="L6" s="16">
        <v>5.0000000000000001E-3</v>
      </c>
    </row>
    <row r="7" spans="1:12" ht="16.8" thickTop="1" thickBot="1" x14ac:dyDescent="0.35">
      <c r="I7" s="361" t="s">
        <v>238</v>
      </c>
      <c r="J7" s="29" t="s">
        <v>11</v>
      </c>
      <c r="K7" s="14">
        <v>0.05</v>
      </c>
      <c r="L7" s="14">
        <v>0.09</v>
      </c>
    </row>
    <row r="8" spans="1:12" ht="16.2" thickBot="1" x14ac:dyDescent="0.35">
      <c r="I8" s="360"/>
      <c r="J8" s="30" t="s">
        <v>12</v>
      </c>
      <c r="K8" s="16">
        <v>2.2499999999999999E-2</v>
      </c>
      <c r="L8" s="16">
        <v>4.4999999999999998E-2</v>
      </c>
    </row>
    <row r="9" spans="1:12" ht="16.8" thickTop="1" thickBot="1" x14ac:dyDescent="0.35">
      <c r="I9" s="361" t="s">
        <v>239</v>
      </c>
      <c r="J9" s="29" t="s">
        <v>7</v>
      </c>
      <c r="K9" s="31">
        <f>1/(1+K4)</f>
        <v>0.98039215686274506</v>
      </c>
      <c r="L9" s="32">
        <f>(1-L4*SUM(K9:K9))/(1+L4)</f>
        <v>0.92383107088989447</v>
      </c>
    </row>
    <row r="10" spans="1:12" ht="16.2" thickBot="1" x14ac:dyDescent="0.35">
      <c r="I10" s="362"/>
      <c r="J10" s="29" t="s">
        <v>11</v>
      </c>
      <c r="K10" s="31">
        <f>(1/(1+K7))</f>
        <v>0.95238095238095233</v>
      </c>
      <c r="L10" s="32">
        <f>(1-L7*SUM(K10:K10))/(1+L5)</f>
        <v>0.87074829931972786</v>
      </c>
    </row>
    <row r="11" spans="1:12" ht="16.2" thickBot="1" x14ac:dyDescent="0.35">
      <c r="I11" s="363"/>
      <c r="J11" s="29" t="s">
        <v>12</v>
      </c>
      <c r="K11" s="31">
        <f>(1/(1+K8))</f>
        <v>0.97799511002444994</v>
      </c>
      <c r="L11" s="32">
        <f>(1-L8*SUM(K11:K11))/(1+L6)</f>
        <v>0.95123404979990034</v>
      </c>
    </row>
  </sheetData>
  <mergeCells count="5">
    <mergeCell ref="I3:J3"/>
    <mergeCell ref="I4:J4"/>
    <mergeCell ref="I5:I6"/>
    <mergeCell ref="I7:I8"/>
    <mergeCell ref="I9:I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workbookViewId="0">
      <selection activeCell="F114" sqref="F114:I114"/>
    </sheetView>
  </sheetViews>
  <sheetFormatPr baseColWidth="10" defaultColWidth="11.5546875" defaultRowHeight="13.8" x14ac:dyDescent="0.25"/>
  <cols>
    <col min="1" max="1" width="16.88671875" style="17" customWidth="1"/>
    <col min="2" max="2" width="26.109375" style="17" customWidth="1"/>
    <col min="3" max="3" width="19.44140625" style="17" bestFit="1" customWidth="1"/>
    <col min="4" max="4" width="12.6640625" style="17" bestFit="1" customWidth="1"/>
    <col min="5" max="9" width="11.5546875" style="17"/>
    <col min="10" max="10" width="23" style="17" customWidth="1"/>
    <col min="11" max="16384" width="11.5546875" style="17"/>
  </cols>
  <sheetData>
    <row r="1" spans="1:15" ht="17.399999999999999" x14ac:dyDescent="0.25">
      <c r="A1" s="19" t="s">
        <v>244</v>
      </c>
    </row>
    <row r="2" spans="1:15" s="33" customFormat="1" x14ac:dyDescent="0.25">
      <c r="A2" s="33" t="s">
        <v>55</v>
      </c>
    </row>
    <row r="3" spans="1:15" ht="14.4" thickBot="1" x14ac:dyDescent="0.3">
      <c r="C3" s="17" t="s">
        <v>2</v>
      </c>
      <c r="F3" s="17" t="s">
        <v>3</v>
      </c>
      <c r="I3" s="17" t="s">
        <v>4</v>
      </c>
    </row>
    <row r="4" spans="1:15" x14ac:dyDescent="0.25">
      <c r="A4" s="34" t="s">
        <v>90</v>
      </c>
      <c r="B4" s="35"/>
      <c r="C4" s="36" t="s">
        <v>101</v>
      </c>
      <c r="D4" s="37"/>
      <c r="E4" s="37"/>
      <c r="F4" s="37"/>
      <c r="G4" s="37"/>
      <c r="H4" s="37"/>
      <c r="I4" s="38"/>
      <c r="K4" s="39"/>
      <c r="L4" s="40" t="s">
        <v>44</v>
      </c>
      <c r="M4" s="41">
        <v>1</v>
      </c>
      <c r="N4" s="41">
        <v>2</v>
      </c>
      <c r="O4" s="42"/>
    </row>
    <row r="5" spans="1:15" x14ac:dyDescent="0.25">
      <c r="K5" s="365" t="s">
        <v>2</v>
      </c>
      <c r="L5" s="43" t="s">
        <v>49</v>
      </c>
      <c r="M5" s="44">
        <v>0.02</v>
      </c>
      <c r="N5" s="44">
        <v>0.04</v>
      </c>
      <c r="O5" s="45"/>
    </row>
    <row r="6" spans="1:15" x14ac:dyDescent="0.25">
      <c r="A6" s="17" t="s">
        <v>0</v>
      </c>
      <c r="B6" s="17" t="s">
        <v>13</v>
      </c>
      <c r="C6" s="17" t="s">
        <v>2</v>
      </c>
      <c r="F6" s="17" t="s">
        <v>3</v>
      </c>
      <c r="I6" s="17" t="s">
        <v>4</v>
      </c>
      <c r="K6" s="365"/>
      <c r="L6" s="43" t="s">
        <v>45</v>
      </c>
      <c r="M6" s="44">
        <v>0.03</v>
      </c>
      <c r="N6" s="44">
        <v>0.05</v>
      </c>
      <c r="O6" s="45"/>
    </row>
    <row r="7" spans="1:15" x14ac:dyDescent="0.25">
      <c r="A7" s="17" t="s">
        <v>51</v>
      </c>
      <c r="C7" s="17">
        <v>-100000</v>
      </c>
      <c r="F7" s="17">
        <v>9000</v>
      </c>
      <c r="I7" s="17">
        <v>109000.00000000001</v>
      </c>
      <c r="K7" s="365"/>
      <c r="L7" s="43" t="s">
        <v>46</v>
      </c>
      <c r="M7" s="44">
        <v>2.5000000000000001E-3</v>
      </c>
      <c r="N7" s="44">
        <v>5.0000000000000001E-3</v>
      </c>
      <c r="O7" s="45"/>
    </row>
    <row r="8" spans="1:15" x14ac:dyDescent="0.25">
      <c r="A8" s="17" t="s">
        <v>51</v>
      </c>
      <c r="C8" s="17">
        <v>-100000</v>
      </c>
      <c r="F8" s="17">
        <v>9000</v>
      </c>
      <c r="I8" s="17">
        <v>109000.00000000001</v>
      </c>
      <c r="K8" s="365"/>
      <c r="L8" s="43"/>
      <c r="M8" s="43"/>
      <c r="N8" s="43"/>
      <c r="O8" s="45"/>
    </row>
    <row r="9" spans="1:15" x14ac:dyDescent="0.25">
      <c r="A9" s="46" t="s">
        <v>52</v>
      </c>
      <c r="C9" s="46">
        <v>200000</v>
      </c>
      <c r="F9" s="46">
        <v>-204500</v>
      </c>
      <c r="I9" s="46"/>
      <c r="K9" s="47"/>
      <c r="L9" s="43"/>
      <c r="M9" s="43"/>
      <c r="N9" s="43"/>
      <c r="O9" s="45"/>
    </row>
    <row r="10" spans="1:15" x14ac:dyDescent="0.25">
      <c r="A10" s="48" t="s">
        <v>26</v>
      </c>
      <c r="B10" s="35"/>
      <c r="C10" s="17">
        <f>SUM(C7:C9)</f>
        <v>0</v>
      </c>
      <c r="F10" s="17">
        <f>SUM(F7:F9)</f>
        <v>-186500</v>
      </c>
      <c r="I10" s="17">
        <f>SUM(I7:I9)</f>
        <v>218000.00000000003</v>
      </c>
      <c r="K10" s="47"/>
      <c r="L10" s="43"/>
      <c r="M10" s="43">
        <v>1</v>
      </c>
      <c r="N10" s="43">
        <v>2</v>
      </c>
      <c r="O10" s="45"/>
    </row>
    <row r="11" spans="1:15" x14ac:dyDescent="0.25">
      <c r="K11" s="47" t="s">
        <v>43</v>
      </c>
      <c r="L11" s="43" t="s">
        <v>7</v>
      </c>
      <c r="M11" s="44">
        <f>M5</f>
        <v>0.02</v>
      </c>
      <c r="N11" s="44">
        <f>N5</f>
        <v>0.04</v>
      </c>
      <c r="O11" s="45"/>
    </row>
    <row r="12" spans="1:15" x14ac:dyDescent="0.25">
      <c r="K12" s="47"/>
      <c r="L12" s="43"/>
      <c r="M12" s="43">
        <v>1</v>
      </c>
      <c r="N12" s="43">
        <v>2</v>
      </c>
      <c r="O12" s="45"/>
    </row>
    <row r="13" spans="1:15" x14ac:dyDescent="0.25">
      <c r="E13" s="50" t="s">
        <v>53</v>
      </c>
      <c r="F13" s="51">
        <f>F7+F8</f>
        <v>18000</v>
      </c>
      <c r="G13" s="51"/>
      <c r="H13" s="52" t="s">
        <v>53</v>
      </c>
      <c r="I13" s="53">
        <f>I7+I8+C7+C8</f>
        <v>18000.000000000029</v>
      </c>
      <c r="K13" s="47"/>
      <c r="L13" s="43" t="s">
        <v>11</v>
      </c>
      <c r="M13" s="44">
        <f>M5+M6</f>
        <v>0.05</v>
      </c>
      <c r="N13" s="44">
        <f>N5+N6</f>
        <v>0.09</v>
      </c>
      <c r="O13" s="45"/>
    </row>
    <row r="14" spans="1:15" x14ac:dyDescent="0.25">
      <c r="E14" s="54" t="s">
        <v>116</v>
      </c>
      <c r="F14" s="55">
        <f>F9+C9</f>
        <v>-4500</v>
      </c>
      <c r="G14" s="55"/>
      <c r="H14" s="56" t="s">
        <v>116</v>
      </c>
      <c r="I14" s="57">
        <f>(M18*1/N18-1)*-C9</f>
        <v>-12244.897959183643</v>
      </c>
      <c r="J14" s="17" t="s">
        <v>63</v>
      </c>
      <c r="K14" s="47" t="s">
        <v>102</v>
      </c>
      <c r="L14" s="43"/>
      <c r="M14" s="43">
        <v>1</v>
      </c>
      <c r="N14" s="43">
        <v>2</v>
      </c>
      <c r="O14" s="45"/>
    </row>
    <row r="15" spans="1:15" x14ac:dyDescent="0.25">
      <c r="E15" s="58" t="s">
        <v>54</v>
      </c>
      <c r="F15" s="53">
        <f>F13+F14</f>
        <v>13500</v>
      </c>
      <c r="G15" s="59"/>
      <c r="H15" s="60" t="s">
        <v>54</v>
      </c>
      <c r="I15" s="61">
        <f>I13+I14</f>
        <v>5755.1020408163859</v>
      </c>
      <c r="K15" s="47"/>
      <c r="L15" s="43" t="s">
        <v>12</v>
      </c>
      <c r="M15" s="44">
        <f>M5+M7</f>
        <v>2.2499999999999999E-2</v>
      </c>
      <c r="N15" s="44">
        <f>N5+N7</f>
        <v>4.4999999999999998E-2</v>
      </c>
      <c r="O15" s="45"/>
    </row>
    <row r="16" spans="1:15" x14ac:dyDescent="0.25">
      <c r="C16" s="62">
        <f>F7*M18+I7*N18</f>
        <v>109521.11613876323</v>
      </c>
      <c r="D16" s="62"/>
      <c r="K16" s="47"/>
      <c r="L16" s="43"/>
      <c r="M16" s="43"/>
      <c r="N16" s="43"/>
      <c r="O16" s="45"/>
    </row>
    <row r="17" spans="2:16" x14ac:dyDescent="0.25">
      <c r="C17" s="62">
        <f>F8*M18+I8*N18</f>
        <v>109521.11613876323</v>
      </c>
      <c r="D17" s="62"/>
      <c r="E17" s="63"/>
      <c r="F17" s="63"/>
      <c r="G17" s="63"/>
      <c r="H17" s="63"/>
      <c r="I17" s="63"/>
      <c r="J17" s="63"/>
      <c r="K17" s="47"/>
      <c r="L17" s="43"/>
      <c r="M17" s="43">
        <v>1</v>
      </c>
      <c r="N17" s="43">
        <v>2</v>
      </c>
      <c r="O17" s="45"/>
    </row>
    <row r="18" spans="2:16" ht="15" customHeight="1" x14ac:dyDescent="0.25">
      <c r="C18" s="64">
        <f>F9*M18</f>
        <v>-200490.19607843136</v>
      </c>
      <c r="D18" s="62"/>
      <c r="G18" s="364" t="s">
        <v>62</v>
      </c>
      <c r="H18" s="364"/>
      <c r="I18" s="364"/>
      <c r="K18" s="47" t="s">
        <v>42</v>
      </c>
      <c r="L18" s="43" t="s">
        <v>7</v>
      </c>
      <c r="M18" s="43">
        <f>1/(1+M11)</f>
        <v>0.98039215686274506</v>
      </c>
      <c r="N18" s="43">
        <f>(1-N11*SUM($M$18:M18))/(1+N11)</f>
        <v>0.92383107088989447</v>
      </c>
      <c r="O18" s="45"/>
    </row>
    <row r="19" spans="2:16" x14ac:dyDescent="0.25">
      <c r="B19" s="58" t="s">
        <v>59</v>
      </c>
      <c r="C19" s="65">
        <f>SUM(C16:C18)</f>
        <v>18552.036199095106</v>
      </c>
      <c r="D19" s="51">
        <f>F10*M18+I10*N18</f>
        <v>18552.036199095077</v>
      </c>
      <c r="E19" s="51">
        <f>F15*M18+I13*N18 +(C9*M18*1/N18-C9)*N18*-1</f>
        <v>18552.036199095077</v>
      </c>
      <c r="G19" s="364"/>
      <c r="H19" s="364"/>
      <c r="I19" s="364"/>
      <c r="K19" s="47"/>
      <c r="L19" s="43"/>
      <c r="M19" s="43">
        <v>1</v>
      </c>
      <c r="N19" s="43">
        <v>2</v>
      </c>
      <c r="O19" s="45"/>
    </row>
    <row r="20" spans="2:16" x14ac:dyDescent="0.25">
      <c r="G20" s="364"/>
      <c r="H20" s="364"/>
      <c r="I20" s="364"/>
      <c r="K20" s="47"/>
      <c r="L20" s="43" t="s">
        <v>11</v>
      </c>
      <c r="M20" s="43">
        <f t="shared" ref="M20:M22" si="0">1/(1+M13)</f>
        <v>0.95238095238095233</v>
      </c>
      <c r="N20" s="43">
        <f>(1-N13*SUM($M$20:M20))/(1+N13)</f>
        <v>0.83879423328964609</v>
      </c>
      <c r="O20" s="45"/>
    </row>
    <row r="21" spans="2:16" x14ac:dyDescent="0.25">
      <c r="B21" s="50" t="s">
        <v>64</v>
      </c>
      <c r="C21" s="66">
        <v>1</v>
      </c>
      <c r="D21" s="66">
        <v>2</v>
      </c>
      <c r="E21" s="67"/>
      <c r="K21" s="47"/>
      <c r="L21" s="43"/>
      <c r="M21" s="43">
        <v>1</v>
      </c>
      <c r="N21" s="43">
        <v>2</v>
      </c>
      <c r="O21" s="45"/>
    </row>
    <row r="22" spans="2:16" ht="14.4" thickBot="1" x14ac:dyDescent="0.3">
      <c r="B22" s="50" t="s">
        <v>68</v>
      </c>
      <c r="C22" s="68">
        <v>18.729864563851152</v>
      </c>
      <c r="D22" s="68">
        <v>-39.911610773066002</v>
      </c>
      <c r="K22" s="69"/>
      <c r="L22" s="70" t="s">
        <v>12</v>
      </c>
      <c r="M22" s="70">
        <f t="shared" si="0"/>
        <v>0.97799511002444994</v>
      </c>
      <c r="N22" s="70">
        <f>(1-N15*SUM($M$22:M22))/(1+N15)</f>
        <v>0.91482317708028693</v>
      </c>
      <c r="O22" s="71"/>
    </row>
    <row r="23" spans="2:16" x14ac:dyDescent="0.25">
      <c r="B23" s="50"/>
      <c r="C23" s="68"/>
      <c r="D23" s="68"/>
      <c r="K23" s="43"/>
      <c r="L23" s="43"/>
      <c r="M23" s="43"/>
      <c r="N23" s="43"/>
      <c r="O23" s="43"/>
    </row>
    <row r="25" spans="2:16" x14ac:dyDescent="0.25">
      <c r="B25" s="72" t="s">
        <v>56</v>
      </c>
      <c r="F25" s="46" t="s">
        <v>60</v>
      </c>
      <c r="I25" s="73" t="s">
        <v>61</v>
      </c>
      <c r="P25" s="67"/>
    </row>
    <row r="26" spans="2:16" x14ac:dyDescent="0.25">
      <c r="B26" s="74" t="s">
        <v>58</v>
      </c>
      <c r="D26" s="17" t="s">
        <v>24</v>
      </c>
      <c r="F26" s="51">
        <f>SUM(F13:F14)</f>
        <v>13500</v>
      </c>
      <c r="I26" s="51">
        <f>I15</f>
        <v>5755.1020408163859</v>
      </c>
    </row>
    <row r="30" spans="2:16" x14ac:dyDescent="0.25">
      <c r="B30" s="50" t="s">
        <v>71</v>
      </c>
      <c r="E30" s="17" t="s">
        <v>51</v>
      </c>
      <c r="F30" s="51">
        <f>F7</f>
        <v>9000</v>
      </c>
      <c r="G30" s="51"/>
      <c r="H30" s="51"/>
      <c r="I30" s="51">
        <f>I7+C7</f>
        <v>9000.0000000000146</v>
      </c>
    </row>
    <row r="31" spans="2:16" x14ac:dyDescent="0.25">
      <c r="B31" s="75" t="s">
        <v>72</v>
      </c>
      <c r="D31" s="207"/>
      <c r="E31" s="17" t="s">
        <v>51</v>
      </c>
      <c r="F31" s="51">
        <f>F8</f>
        <v>9000</v>
      </c>
      <c r="G31" s="51"/>
      <c r="H31" s="51"/>
      <c r="I31" s="51">
        <f>I8+C8</f>
        <v>9000.0000000000146</v>
      </c>
    </row>
    <row r="32" spans="2:16" x14ac:dyDescent="0.25">
      <c r="B32" s="75" t="s">
        <v>57</v>
      </c>
      <c r="D32" s="207"/>
      <c r="E32" s="17" t="s">
        <v>52</v>
      </c>
      <c r="F32" s="55">
        <f>F9+C9</f>
        <v>-4500</v>
      </c>
      <c r="G32" s="51"/>
      <c r="H32" s="51"/>
      <c r="I32" s="77">
        <f>C9*M15*-1</f>
        <v>-4500</v>
      </c>
    </row>
    <row r="33" spans="1:18" x14ac:dyDescent="0.25">
      <c r="B33" s="75"/>
      <c r="D33" s="17" t="s">
        <v>24</v>
      </c>
      <c r="F33" s="53">
        <f>SUM(F30:F32)</f>
        <v>13500</v>
      </c>
      <c r="G33" s="51"/>
      <c r="H33" s="51"/>
      <c r="I33" s="78">
        <f>SUM(I30:I32)</f>
        <v>13500.000000000029</v>
      </c>
    </row>
    <row r="40" spans="1:18" s="33" customFormat="1" x14ac:dyDescent="0.25">
      <c r="A40" s="33" t="s">
        <v>75</v>
      </c>
    </row>
    <row r="41" spans="1:18" ht="14.4" thickBot="1" x14ac:dyDescent="0.3"/>
    <row r="42" spans="1:18" x14ac:dyDescent="0.25">
      <c r="K42" s="39"/>
      <c r="L42" s="40" t="s">
        <v>44</v>
      </c>
      <c r="M42" s="41">
        <v>1</v>
      </c>
      <c r="N42" s="41">
        <v>2</v>
      </c>
      <c r="O42" s="42"/>
    </row>
    <row r="43" spans="1:18" x14ac:dyDescent="0.25">
      <c r="K43" s="366" t="s">
        <v>50</v>
      </c>
      <c r="L43" s="43" t="s">
        <v>49</v>
      </c>
      <c r="M43" s="44">
        <f t="shared" ref="M43:N45" si="1">M5+P43</f>
        <v>0.04</v>
      </c>
      <c r="N43" s="44">
        <f t="shared" si="1"/>
        <v>0.06</v>
      </c>
      <c r="O43" s="45"/>
      <c r="P43" s="17">
        <v>0.02</v>
      </c>
      <c r="Q43" s="17">
        <v>0.02</v>
      </c>
      <c r="R43" s="17" t="s">
        <v>70</v>
      </c>
    </row>
    <row r="44" spans="1:18" x14ac:dyDescent="0.25">
      <c r="A44" s="17" t="s">
        <v>0</v>
      </c>
      <c r="B44" s="17" t="s">
        <v>13</v>
      </c>
      <c r="C44" s="17" t="s">
        <v>2</v>
      </c>
      <c r="F44" s="17" t="s">
        <v>3</v>
      </c>
      <c r="I44" s="17" t="s">
        <v>4</v>
      </c>
      <c r="K44" s="365"/>
      <c r="L44" s="43" t="s">
        <v>45</v>
      </c>
      <c r="M44" s="44">
        <f t="shared" si="1"/>
        <v>0.03</v>
      </c>
      <c r="N44" s="44">
        <f t="shared" si="1"/>
        <v>0.05</v>
      </c>
      <c r="O44" s="45"/>
      <c r="P44" s="17">
        <v>0</v>
      </c>
      <c r="Q44" s="17">
        <v>0</v>
      </c>
      <c r="R44" s="17" t="s">
        <v>69</v>
      </c>
    </row>
    <row r="45" spans="1:18" x14ac:dyDescent="0.25">
      <c r="A45" s="17" t="s">
        <v>51</v>
      </c>
      <c r="C45" s="17">
        <v>-100000</v>
      </c>
      <c r="F45" s="17">
        <v>9000</v>
      </c>
      <c r="I45" s="17">
        <v>109000.00000000001</v>
      </c>
      <c r="K45" s="365"/>
      <c r="L45" s="43" t="s">
        <v>46</v>
      </c>
      <c r="M45" s="44">
        <f t="shared" si="1"/>
        <v>2.5000000000000001E-3</v>
      </c>
      <c r="N45" s="44">
        <f t="shared" si="1"/>
        <v>5.0000000000000001E-3</v>
      </c>
      <c r="O45" s="45"/>
      <c r="P45" s="17">
        <v>0</v>
      </c>
      <c r="Q45" s="17">
        <v>0</v>
      </c>
      <c r="R45" s="17" t="s">
        <v>74</v>
      </c>
    </row>
    <row r="46" spans="1:18" x14ac:dyDescent="0.25">
      <c r="A46" s="17" t="s">
        <v>51</v>
      </c>
      <c r="C46" s="17">
        <v>-100000</v>
      </c>
      <c r="F46" s="17">
        <v>9000</v>
      </c>
      <c r="I46" s="17">
        <v>109000.00000000001</v>
      </c>
      <c r="K46" s="365"/>
      <c r="L46" s="43"/>
      <c r="M46" s="43"/>
      <c r="N46" s="43"/>
      <c r="O46" s="45"/>
    </row>
    <row r="47" spans="1:18" x14ac:dyDescent="0.25">
      <c r="A47" s="46" t="s">
        <v>52</v>
      </c>
      <c r="C47" s="46">
        <v>200000</v>
      </c>
      <c r="F47" s="46">
        <v>-204500</v>
      </c>
      <c r="I47" s="46"/>
      <c r="K47" s="47"/>
      <c r="L47" s="43"/>
      <c r="M47" s="43"/>
      <c r="N47" s="43"/>
      <c r="O47" s="45"/>
    </row>
    <row r="48" spans="1:18" x14ac:dyDescent="0.25">
      <c r="A48" s="48" t="s">
        <v>26</v>
      </c>
      <c r="B48" s="48"/>
      <c r="C48" s="17">
        <f>SUM(C45:C47)</f>
        <v>0</v>
      </c>
      <c r="F48" s="17">
        <f>SUM(F45:F47)</f>
        <v>-186500</v>
      </c>
      <c r="I48" s="17">
        <f>SUM(I45:I47)</f>
        <v>218000.00000000003</v>
      </c>
      <c r="K48" s="47"/>
      <c r="L48" s="43"/>
      <c r="M48" s="43">
        <v>1</v>
      </c>
      <c r="N48" s="43">
        <v>2</v>
      </c>
      <c r="O48" s="45"/>
    </row>
    <row r="49" spans="2:15" x14ac:dyDescent="0.25">
      <c r="K49" s="47" t="s">
        <v>43</v>
      </c>
      <c r="L49" s="43" t="s">
        <v>7</v>
      </c>
      <c r="M49" s="44">
        <f>M43</f>
        <v>0.04</v>
      </c>
      <c r="N49" s="44">
        <f>N43</f>
        <v>0.06</v>
      </c>
      <c r="O49" s="45"/>
    </row>
    <row r="50" spans="2:15" x14ac:dyDescent="0.25">
      <c r="K50" s="47"/>
      <c r="L50" s="43"/>
      <c r="M50" s="43">
        <v>1</v>
      </c>
      <c r="N50" s="43">
        <v>2</v>
      </c>
      <c r="O50" s="45"/>
    </row>
    <row r="51" spans="2:15" x14ac:dyDescent="0.25">
      <c r="E51" s="50" t="s">
        <v>53</v>
      </c>
      <c r="F51" s="17">
        <f>F45+F46</f>
        <v>18000</v>
      </c>
      <c r="H51" s="50" t="s">
        <v>53</v>
      </c>
      <c r="I51" s="17">
        <f>I45+I46+C45+C46</f>
        <v>18000.000000000029</v>
      </c>
      <c r="K51" s="47"/>
      <c r="L51" s="43" t="s">
        <v>11</v>
      </c>
      <c r="M51" s="44">
        <f>M43+M44</f>
        <v>7.0000000000000007E-2</v>
      </c>
      <c r="N51" s="44">
        <f>N43+N44</f>
        <v>0.11</v>
      </c>
      <c r="O51" s="45"/>
    </row>
    <row r="52" spans="2:15" x14ac:dyDescent="0.25">
      <c r="E52" s="54" t="s">
        <v>116</v>
      </c>
      <c r="F52" s="46">
        <f>F47+C47</f>
        <v>-4500</v>
      </c>
      <c r="G52" s="46"/>
      <c r="H52" s="54" t="s">
        <v>116</v>
      </c>
      <c r="I52" s="57">
        <f>(M56*1/N56-1)*-C47</f>
        <v>-16326.530612244871</v>
      </c>
      <c r="K52" s="47"/>
      <c r="L52" s="43"/>
      <c r="M52" s="43">
        <v>1</v>
      </c>
      <c r="N52" s="43">
        <v>2</v>
      </c>
      <c r="O52" s="45"/>
    </row>
    <row r="53" spans="2:15" x14ac:dyDescent="0.25">
      <c r="E53" s="58" t="s">
        <v>54</v>
      </c>
      <c r="F53" s="79">
        <f>F51+F52</f>
        <v>13500</v>
      </c>
      <c r="G53" s="63"/>
      <c r="H53" s="80" t="s">
        <v>54</v>
      </c>
      <c r="I53" s="61">
        <f>I51+I52</f>
        <v>1673.4693877551581</v>
      </c>
      <c r="K53" s="47"/>
      <c r="L53" s="43" t="s">
        <v>12</v>
      </c>
      <c r="M53" s="44">
        <f>M43+M45</f>
        <v>4.2500000000000003E-2</v>
      </c>
      <c r="N53" s="44">
        <f>N43+N45</f>
        <v>6.5000000000000002E-2</v>
      </c>
      <c r="O53" s="45"/>
    </row>
    <row r="54" spans="2:15" x14ac:dyDescent="0.25">
      <c r="C54" s="62">
        <f>F45*M56+I45*N56</f>
        <v>105551.52394775038</v>
      </c>
      <c r="D54" s="81">
        <f>C54-C16</f>
        <v>-3969.5921910128527</v>
      </c>
      <c r="K54" s="47"/>
      <c r="L54" s="43"/>
      <c r="M54" s="43"/>
      <c r="N54" s="43"/>
      <c r="O54" s="45"/>
    </row>
    <row r="55" spans="2:15" x14ac:dyDescent="0.25">
      <c r="C55" s="62">
        <f>F46*M56+I46*N56</f>
        <v>105551.52394775038</v>
      </c>
      <c r="D55" s="81">
        <f>C55-C17</f>
        <v>-3969.5921910128527</v>
      </c>
      <c r="E55" s="63"/>
      <c r="F55" s="63"/>
      <c r="G55" s="63"/>
      <c r="H55" s="63"/>
      <c r="I55" s="63"/>
      <c r="K55" s="47"/>
      <c r="L55" s="43"/>
      <c r="M55" s="43">
        <v>1</v>
      </c>
      <c r="N55" s="43">
        <v>2</v>
      </c>
      <c r="O55" s="45"/>
    </row>
    <row r="56" spans="2:15" x14ac:dyDescent="0.25">
      <c r="C56" s="64">
        <f>F47*M56</f>
        <v>-196634.61538461538</v>
      </c>
      <c r="D56" s="81">
        <f>C56-C18</f>
        <v>3855.5806938159803</v>
      </c>
      <c r="G56" s="364" t="s">
        <v>62</v>
      </c>
      <c r="H56" s="364"/>
      <c r="I56" s="364"/>
      <c r="K56" s="47" t="s">
        <v>42</v>
      </c>
      <c r="L56" s="43" t="s">
        <v>7</v>
      </c>
      <c r="M56" s="43">
        <v>0.96153846153846145</v>
      </c>
      <c r="N56" s="43">
        <v>0.88896952104499272</v>
      </c>
      <c r="O56" s="45"/>
    </row>
    <row r="57" spans="2:15" x14ac:dyDescent="0.25">
      <c r="B57" s="82" t="s">
        <v>21</v>
      </c>
      <c r="C57" s="83">
        <f>SUM(C54:C56)</f>
        <v>14468.432510885381</v>
      </c>
      <c r="D57" s="81">
        <f>SUM(D54:D56)</f>
        <v>-4083.6036882097251</v>
      </c>
      <c r="E57" s="51">
        <f>F53*M56+I51*N56 +(C47*M56*1/N56-C47)*N56*-1</f>
        <v>14468.432510885381</v>
      </c>
      <c r="G57" s="364"/>
      <c r="H57" s="364"/>
      <c r="I57" s="364"/>
      <c r="K57" s="47"/>
      <c r="L57" s="43"/>
      <c r="M57" s="43">
        <v>1</v>
      </c>
      <c r="N57" s="43">
        <v>2</v>
      </c>
      <c r="O57" s="45"/>
    </row>
    <row r="58" spans="2:15" x14ac:dyDescent="0.25">
      <c r="E58" s="17">
        <f>F53*M56+I53*N56</f>
        <v>14468.43251088539</v>
      </c>
      <c r="G58" s="364"/>
      <c r="H58" s="364"/>
      <c r="I58" s="364"/>
      <c r="K58" s="47"/>
      <c r="L58" s="43" t="s">
        <v>11</v>
      </c>
      <c r="M58" s="43">
        <v>0.93457943925233644</v>
      </c>
      <c r="N58" s="43">
        <v>0.8082849204344531</v>
      </c>
      <c r="O58" s="45"/>
    </row>
    <row r="59" spans="2:15" x14ac:dyDescent="0.25">
      <c r="B59" s="50" t="s">
        <v>64</v>
      </c>
      <c r="C59" s="66">
        <v>1</v>
      </c>
      <c r="D59" s="66">
        <v>2</v>
      </c>
      <c r="K59" s="47"/>
      <c r="L59" s="43"/>
      <c r="M59" s="43">
        <v>1</v>
      </c>
      <c r="N59" s="43">
        <v>2</v>
      </c>
      <c r="O59" s="45"/>
    </row>
    <row r="60" spans="2:15" ht="14.4" thickBot="1" x14ac:dyDescent="0.3">
      <c r="B60" s="50" t="s">
        <v>26</v>
      </c>
      <c r="C60" s="68">
        <v>18.382073343673255</v>
      </c>
      <c r="D60" s="68">
        <v>-38.054026997764595</v>
      </c>
      <c r="E60" s="67"/>
      <c r="K60" s="69"/>
      <c r="L60" s="70" t="s">
        <v>12</v>
      </c>
      <c r="M60" s="70">
        <v>0.95923261390887293</v>
      </c>
      <c r="N60" s="70">
        <v>0.88042242262528003</v>
      </c>
      <c r="O60" s="71"/>
    </row>
    <row r="61" spans="2:15" x14ac:dyDescent="0.25">
      <c r="B61" s="50"/>
      <c r="C61" s="68"/>
      <c r="D61" s="68"/>
      <c r="K61" s="43"/>
      <c r="L61" s="43"/>
      <c r="M61" s="43"/>
      <c r="N61" s="43"/>
      <c r="O61" s="43"/>
    </row>
    <row r="63" spans="2:15" x14ac:dyDescent="0.25">
      <c r="B63" s="72" t="s">
        <v>56</v>
      </c>
      <c r="F63" s="46" t="s">
        <v>60</v>
      </c>
      <c r="I63" s="73" t="s">
        <v>61</v>
      </c>
    </row>
    <row r="64" spans="2:15" x14ac:dyDescent="0.25">
      <c r="B64" s="74" t="s">
        <v>58</v>
      </c>
      <c r="D64" s="17" t="s">
        <v>24</v>
      </c>
      <c r="F64" s="51">
        <f>SUM(F51:F52)</f>
        <v>13500</v>
      </c>
      <c r="I64" s="84">
        <f>I53</f>
        <v>1673.4693877551581</v>
      </c>
      <c r="J64" s="51"/>
    </row>
    <row r="66" spans="1:9" x14ac:dyDescent="0.25">
      <c r="B66" s="50" t="s">
        <v>73</v>
      </c>
      <c r="E66" s="17" t="s">
        <v>51</v>
      </c>
      <c r="F66" s="51">
        <f>F45</f>
        <v>9000</v>
      </c>
      <c r="G66" s="51"/>
      <c r="H66" s="51"/>
      <c r="I66" s="51">
        <f>I45+C45</f>
        <v>9000.0000000000146</v>
      </c>
    </row>
    <row r="67" spans="1:9" x14ac:dyDescent="0.25">
      <c r="B67" s="75" t="s">
        <v>72</v>
      </c>
      <c r="D67" s="207"/>
      <c r="E67" s="17" t="s">
        <v>51</v>
      </c>
      <c r="F67" s="51">
        <f>F46</f>
        <v>9000</v>
      </c>
      <c r="G67" s="51"/>
      <c r="H67" s="51"/>
      <c r="I67" s="51">
        <f>I46+C46</f>
        <v>9000.0000000000146</v>
      </c>
    </row>
    <row r="68" spans="1:9" x14ac:dyDescent="0.25">
      <c r="B68" s="75" t="s">
        <v>65</v>
      </c>
      <c r="D68" s="207"/>
      <c r="E68" s="17" t="s">
        <v>52</v>
      </c>
      <c r="F68" s="55">
        <f>F47+C47</f>
        <v>-4500</v>
      </c>
      <c r="G68" s="51"/>
      <c r="H68" s="51"/>
      <c r="I68" s="77">
        <f>C47*M53*-1</f>
        <v>-8500</v>
      </c>
    </row>
    <row r="69" spans="1:9" x14ac:dyDescent="0.25">
      <c r="B69" s="50"/>
      <c r="D69" s="17" t="s">
        <v>24</v>
      </c>
      <c r="F69" s="85">
        <f>SUM(F66:F68)</f>
        <v>13500</v>
      </c>
      <c r="G69" s="51"/>
      <c r="H69" s="51"/>
      <c r="I69" s="78">
        <f>SUM(I66:I68)</f>
        <v>9500.0000000000291</v>
      </c>
    </row>
    <row r="71" spans="1:9" x14ac:dyDescent="0.25">
      <c r="B71" s="75"/>
    </row>
    <row r="72" spans="1:9" x14ac:dyDescent="0.25">
      <c r="B72" s="75"/>
    </row>
    <row r="73" spans="1:9" x14ac:dyDescent="0.25">
      <c r="B73" s="75"/>
    </row>
    <row r="74" spans="1:9" x14ac:dyDescent="0.25">
      <c r="B74" s="75"/>
    </row>
    <row r="75" spans="1:9" x14ac:dyDescent="0.25">
      <c r="B75" s="75"/>
    </row>
    <row r="76" spans="1:9" x14ac:dyDescent="0.25">
      <c r="B76" s="75"/>
    </row>
    <row r="77" spans="1:9" x14ac:dyDescent="0.25">
      <c r="B77" s="75"/>
    </row>
    <row r="78" spans="1:9" x14ac:dyDescent="0.25">
      <c r="B78" s="75"/>
    </row>
    <row r="79" spans="1:9" s="87" customFormat="1" x14ac:dyDescent="0.25">
      <c r="A79" s="86" t="s">
        <v>76</v>
      </c>
    </row>
    <row r="81" spans="1:15" x14ac:dyDescent="0.25">
      <c r="B81" s="17" t="s">
        <v>66</v>
      </c>
    </row>
    <row r="82" spans="1:15" x14ac:dyDescent="0.25">
      <c r="E82" s="88" t="s">
        <v>96</v>
      </c>
    </row>
    <row r="83" spans="1:15" x14ac:dyDescent="0.25">
      <c r="B83" s="17" t="s">
        <v>67</v>
      </c>
      <c r="C83" s="89">
        <f>D57</f>
        <v>-4083.6036882097251</v>
      </c>
      <c r="E83" s="17" t="s">
        <v>25</v>
      </c>
      <c r="F83" s="85">
        <f>F64-F53</f>
        <v>0</v>
      </c>
      <c r="I83" s="84">
        <f>I64-I26</f>
        <v>-4081.6326530612278</v>
      </c>
    </row>
    <row r="85" spans="1:15" x14ac:dyDescent="0.25">
      <c r="E85" s="90" t="s">
        <v>73</v>
      </c>
    </row>
    <row r="86" spans="1:15" x14ac:dyDescent="0.25">
      <c r="E86" s="17" t="s">
        <v>25</v>
      </c>
      <c r="F86" s="85">
        <f>F69-F33</f>
        <v>0</v>
      </c>
      <c r="I86" s="91">
        <f>I69-I33</f>
        <v>-4000</v>
      </c>
    </row>
    <row r="87" spans="1:15" x14ac:dyDescent="0.25">
      <c r="E87" s="75" t="s">
        <v>72</v>
      </c>
    </row>
    <row r="88" spans="1:15" x14ac:dyDescent="0.25">
      <c r="E88" s="75" t="s">
        <v>65</v>
      </c>
    </row>
    <row r="90" spans="1:15" s="93" customFormat="1" x14ac:dyDescent="0.25">
      <c r="A90" s="92" t="s">
        <v>77</v>
      </c>
    </row>
    <row r="91" spans="1:15" ht="14.4" thickBot="1" x14ac:dyDescent="0.3"/>
    <row r="92" spans="1:15" x14ac:dyDescent="0.25">
      <c r="C92" s="208"/>
      <c r="D92" s="208"/>
      <c r="E92" s="208"/>
      <c r="F92" s="208"/>
      <c r="G92" s="208"/>
      <c r="H92" s="208"/>
      <c r="I92" s="208"/>
      <c r="K92" s="39"/>
      <c r="L92" s="40" t="s">
        <v>44</v>
      </c>
      <c r="M92" s="41">
        <v>1</v>
      </c>
      <c r="N92" s="41">
        <v>2</v>
      </c>
      <c r="O92" s="42"/>
    </row>
    <row r="93" spans="1:15" x14ac:dyDescent="0.25">
      <c r="A93" s="17" t="s">
        <v>0</v>
      </c>
      <c r="B93" s="17" t="s">
        <v>13</v>
      </c>
      <c r="C93" s="208" t="s">
        <v>2</v>
      </c>
      <c r="D93" s="208"/>
      <c r="E93" s="208"/>
      <c r="F93" s="208" t="s">
        <v>3</v>
      </c>
      <c r="G93" s="208"/>
      <c r="H93" s="208"/>
      <c r="I93" s="208" t="s">
        <v>4</v>
      </c>
      <c r="K93" s="365" t="s">
        <v>2</v>
      </c>
      <c r="L93" s="43" t="s">
        <v>49</v>
      </c>
      <c r="M93" s="44">
        <f>M5</f>
        <v>0.02</v>
      </c>
      <c r="N93" s="44">
        <f>N5</f>
        <v>0.04</v>
      </c>
      <c r="O93" s="45"/>
    </row>
    <row r="94" spans="1:15" x14ac:dyDescent="0.25">
      <c r="A94" s="17" t="s">
        <v>51</v>
      </c>
      <c r="C94" s="51">
        <v>-100000</v>
      </c>
      <c r="D94" s="51"/>
      <c r="E94" s="51"/>
      <c r="F94" s="51">
        <v>9000</v>
      </c>
      <c r="G94" s="51"/>
      <c r="H94" s="51"/>
      <c r="I94" s="51">
        <v>109000.00000000001</v>
      </c>
      <c r="K94" s="365"/>
      <c r="L94" s="43" t="s">
        <v>45</v>
      </c>
      <c r="M94" s="44">
        <f t="shared" ref="M94:N94" si="2">M6</f>
        <v>0.03</v>
      </c>
      <c r="N94" s="44">
        <f t="shared" si="2"/>
        <v>0.05</v>
      </c>
      <c r="O94" s="45"/>
    </row>
    <row r="95" spans="1:15" x14ac:dyDescent="0.25">
      <c r="A95" s="17" t="s">
        <v>51</v>
      </c>
      <c r="C95" s="51">
        <v>-100000</v>
      </c>
      <c r="D95" s="51"/>
      <c r="E95" s="51"/>
      <c r="F95" s="51">
        <v>9000</v>
      </c>
      <c r="G95" s="51"/>
      <c r="H95" s="51"/>
      <c r="I95" s="51">
        <v>109000.00000000001</v>
      </c>
      <c r="K95" s="365"/>
      <c r="L95" s="43" t="s">
        <v>46</v>
      </c>
      <c r="M95" s="44">
        <f t="shared" ref="M95:N95" si="3">M7</f>
        <v>2.5000000000000001E-3</v>
      </c>
      <c r="N95" s="44">
        <f t="shared" si="3"/>
        <v>5.0000000000000001E-3</v>
      </c>
      <c r="O95" s="45"/>
    </row>
    <row r="96" spans="1:15" x14ac:dyDescent="0.25">
      <c r="A96" s="46" t="s">
        <v>52</v>
      </c>
      <c r="C96" s="55">
        <v>200000</v>
      </c>
      <c r="D96" s="51"/>
      <c r="E96" s="51"/>
      <c r="F96" s="55">
        <v>-204500</v>
      </c>
      <c r="G96" s="51"/>
      <c r="H96" s="51"/>
      <c r="I96" s="55"/>
      <c r="K96" s="365"/>
      <c r="L96" s="43"/>
      <c r="M96" s="43"/>
      <c r="N96" s="43"/>
      <c r="O96" s="45"/>
    </row>
    <row r="97" spans="1:15" x14ac:dyDescent="0.25">
      <c r="A97" s="48" t="s">
        <v>26</v>
      </c>
      <c r="B97" s="48"/>
      <c r="C97" s="51"/>
      <c r="D97" s="51"/>
      <c r="E97" s="51"/>
      <c r="F97" s="51"/>
      <c r="G97" s="51"/>
      <c r="H97" s="51"/>
      <c r="I97" s="51"/>
      <c r="K97" s="47"/>
      <c r="L97" s="43"/>
      <c r="M97" s="43"/>
      <c r="N97" s="43"/>
      <c r="O97" s="45"/>
    </row>
    <row r="98" spans="1:15" x14ac:dyDescent="0.25">
      <c r="B98" s="50" t="s">
        <v>82</v>
      </c>
      <c r="C98" s="51"/>
      <c r="D98" s="51"/>
      <c r="E98" s="51"/>
      <c r="F98" s="51">
        <f>F94+F95+F96+C96</f>
        <v>13500</v>
      </c>
      <c r="G98" s="51"/>
      <c r="H98" s="51"/>
      <c r="I98" s="51">
        <f>I94+C94+I95+C95</f>
        <v>18000.000000000029</v>
      </c>
      <c r="K98" s="47"/>
      <c r="L98" s="43"/>
      <c r="M98" s="43">
        <f t="shared" ref="M98:N98" si="4">M10</f>
        <v>1</v>
      </c>
      <c r="N98" s="43">
        <f t="shared" si="4"/>
        <v>2</v>
      </c>
      <c r="O98" s="45"/>
    </row>
    <row r="99" spans="1:15" x14ac:dyDescent="0.25">
      <c r="B99" s="50" t="s">
        <v>78</v>
      </c>
      <c r="C99" s="55">
        <f>SUM(C94:C96)</f>
        <v>0</v>
      </c>
      <c r="D99" s="51"/>
      <c r="E99" s="51"/>
      <c r="F99" s="55">
        <f>-C96</f>
        <v>-200000</v>
      </c>
      <c r="G99" s="51"/>
      <c r="H99" s="51"/>
      <c r="I99" s="55">
        <f>-C94+-C95</f>
        <v>200000</v>
      </c>
      <c r="K99" s="47" t="s">
        <v>43</v>
      </c>
      <c r="L99" s="43" t="s">
        <v>7</v>
      </c>
      <c r="M99" s="44">
        <f t="shared" ref="M99:N99" si="5">M11</f>
        <v>0.02</v>
      </c>
      <c r="N99" s="44">
        <f t="shared" si="5"/>
        <v>0.04</v>
      </c>
      <c r="O99" s="45"/>
    </row>
    <row r="100" spans="1:15" x14ac:dyDescent="0.25">
      <c r="B100" s="95" t="s">
        <v>79</v>
      </c>
      <c r="C100" s="96">
        <f>SUM(C98:C99)</f>
        <v>0</v>
      </c>
      <c r="D100" s="96"/>
      <c r="E100" s="96"/>
      <c r="F100" s="96">
        <f>SUM(F98:F99)</f>
        <v>-186500</v>
      </c>
      <c r="G100" s="96"/>
      <c r="H100" s="96"/>
      <c r="I100" s="96">
        <f>SUM(I98:I99)</f>
        <v>218000.00000000003</v>
      </c>
      <c r="K100" s="47"/>
      <c r="L100" s="43"/>
      <c r="M100" s="43">
        <f t="shared" ref="M100:N100" si="6">M12</f>
        <v>1</v>
      </c>
      <c r="N100" s="43">
        <f t="shared" si="6"/>
        <v>2</v>
      </c>
      <c r="O100" s="45"/>
    </row>
    <row r="101" spans="1:15" x14ac:dyDescent="0.25">
      <c r="K101" s="47"/>
      <c r="L101" s="43" t="s">
        <v>11</v>
      </c>
      <c r="M101" s="44">
        <f t="shared" ref="M101:N101" si="7">M13</f>
        <v>0.05</v>
      </c>
      <c r="N101" s="44">
        <f t="shared" si="7"/>
        <v>0.09</v>
      </c>
      <c r="O101" s="45"/>
    </row>
    <row r="102" spans="1:15" x14ac:dyDescent="0.25">
      <c r="A102" s="17" t="s">
        <v>367</v>
      </c>
      <c r="K102" s="47"/>
      <c r="L102" s="43"/>
      <c r="M102" s="43">
        <f t="shared" ref="M102:N102" si="8">M14</f>
        <v>1</v>
      </c>
      <c r="N102" s="43">
        <f t="shared" si="8"/>
        <v>2</v>
      </c>
      <c r="O102" s="45"/>
    </row>
    <row r="103" spans="1:15" x14ac:dyDescent="0.25">
      <c r="A103" s="90" t="s">
        <v>333</v>
      </c>
      <c r="B103" s="50"/>
      <c r="C103" s="51">
        <f>I100/(1+N99)</f>
        <v>209615.38461538462</v>
      </c>
      <c r="D103" s="51"/>
      <c r="E103" s="51"/>
      <c r="F103" s="51">
        <f>-C103*N99</f>
        <v>-8384.6153846153848</v>
      </c>
      <c r="G103" s="51"/>
      <c r="H103" s="51"/>
      <c r="I103" s="51">
        <f>-C103*(1+N99)</f>
        <v>-218000.00000000003</v>
      </c>
      <c r="K103" s="47"/>
      <c r="L103" s="43" t="s">
        <v>12</v>
      </c>
      <c r="M103" s="44">
        <f t="shared" ref="M103:N103" si="9">M15</f>
        <v>2.2499999999999999E-2</v>
      </c>
      <c r="N103" s="44">
        <f t="shared" si="9"/>
        <v>4.4999999999999998E-2</v>
      </c>
      <c r="O103" s="45"/>
    </row>
    <row r="104" spans="1:15" x14ac:dyDescent="0.25">
      <c r="A104" s="90" t="s">
        <v>334</v>
      </c>
      <c r="C104" s="51">
        <f>-C103</f>
        <v>-209615.38461538462</v>
      </c>
      <c r="D104" s="17" t="str">
        <f>TEXT(-ROUND(C104,2),"#.##0,00")&amp;" * (1+floatingRate)"</f>
        <v>209.615,38 * (1+floatingRate)</v>
      </c>
      <c r="K104" s="47"/>
      <c r="L104" s="43"/>
      <c r="M104" s="43"/>
      <c r="N104" s="43"/>
      <c r="O104" s="45"/>
    </row>
    <row r="105" spans="1:15" x14ac:dyDescent="0.25">
      <c r="A105" s="90" t="s">
        <v>335</v>
      </c>
      <c r="B105" s="50"/>
      <c r="C105" s="51">
        <f>(F100+F103)/(1+M99)</f>
        <v>-191063.34841628958</v>
      </c>
      <c r="E105" s="51"/>
      <c r="F105" s="51">
        <f>-C105*(1+M99)</f>
        <v>194884.61538461538</v>
      </c>
      <c r="G105" s="51"/>
      <c r="H105" s="51"/>
      <c r="I105" s="51"/>
      <c r="K105" s="47"/>
      <c r="L105" s="43"/>
      <c r="M105" s="43">
        <f t="shared" ref="M105:N105" si="10">M17</f>
        <v>1</v>
      </c>
      <c r="N105" s="43">
        <f t="shared" si="10"/>
        <v>2</v>
      </c>
      <c r="O105" s="45"/>
    </row>
    <row r="106" spans="1:15" ht="14.4" thickBot="1" x14ac:dyDescent="0.3">
      <c r="A106" s="90" t="s">
        <v>336</v>
      </c>
      <c r="C106" s="308">
        <f>-C105</f>
        <v>191063.34841628958</v>
      </c>
      <c r="D106" s="97" t="str">
        <f>TEXT(-ROUND(C106,2),"#.##0,00")&amp;" *(1+floatingRate)"</f>
        <v>-191.063,35 *(1+floatingRate)</v>
      </c>
      <c r="F106" s="97"/>
      <c r="I106" s="97"/>
      <c r="K106" s="47" t="s">
        <v>42</v>
      </c>
      <c r="L106" s="43" t="s">
        <v>7</v>
      </c>
      <c r="M106" s="43">
        <f t="shared" ref="M106:N106" si="11">M18</f>
        <v>0.98039215686274506</v>
      </c>
      <c r="N106" s="43">
        <f t="shared" si="11"/>
        <v>0.92383107088989447</v>
      </c>
      <c r="O106" s="45"/>
    </row>
    <row r="107" spans="1:15" ht="15" thickTop="1" thickBot="1" x14ac:dyDescent="0.3">
      <c r="B107" s="50" t="s">
        <v>337</v>
      </c>
      <c r="C107" s="51">
        <f>SUM(C100:C106)</f>
        <v>0</v>
      </c>
      <c r="D107" s="97" t="str">
        <f>TEXT(-ROUND(C104+C106,2),"#.##0,00")&amp;" *(1+floatingRate)"</f>
        <v>18.552,04 *(1+floatingRate)</v>
      </c>
      <c r="E107" s="51"/>
      <c r="F107" s="51">
        <f>SUM(F100:F105)</f>
        <v>0</v>
      </c>
      <c r="G107" s="51"/>
      <c r="H107" s="51"/>
      <c r="I107" s="51">
        <f>SUM(I100:I105)</f>
        <v>0</v>
      </c>
      <c r="K107" s="47"/>
      <c r="L107" s="43"/>
      <c r="M107" s="43">
        <f t="shared" ref="M107:N107" si="12">M19</f>
        <v>1</v>
      </c>
      <c r="N107" s="43">
        <f t="shared" si="12"/>
        <v>2</v>
      </c>
      <c r="O107" s="45"/>
    </row>
    <row r="108" spans="1:15" ht="14.4" thickTop="1" x14ac:dyDescent="0.25">
      <c r="K108" s="47"/>
      <c r="L108" s="43" t="s">
        <v>11</v>
      </c>
      <c r="M108" s="43">
        <f t="shared" ref="M108:N108" si="13">M20</f>
        <v>0.95238095238095233</v>
      </c>
      <c r="N108" s="43">
        <f t="shared" si="13"/>
        <v>0.83879423328964609</v>
      </c>
      <c r="O108" s="45"/>
    </row>
    <row r="109" spans="1:15" x14ac:dyDescent="0.25">
      <c r="B109" s="50"/>
      <c r="C109" s="367" t="s">
        <v>338</v>
      </c>
      <c r="D109" s="367"/>
      <c r="F109" s="17" t="s">
        <v>3</v>
      </c>
      <c r="I109" s="17" t="s">
        <v>4</v>
      </c>
      <c r="K109" s="47"/>
      <c r="L109" s="43"/>
      <c r="M109" s="43">
        <f t="shared" ref="M109:N109" si="14">M21</f>
        <v>1</v>
      </c>
      <c r="N109" s="43">
        <f t="shared" si="14"/>
        <v>2</v>
      </c>
      <c r="O109" s="45"/>
    </row>
    <row r="110" spans="1:15" ht="14.4" thickBot="1" x14ac:dyDescent="0.3">
      <c r="A110" s="17" t="s">
        <v>339</v>
      </c>
      <c r="C110" s="308">
        <f>C107</f>
        <v>0</v>
      </c>
      <c r="D110" s="97" t="str">
        <f>D112</f>
        <v>18.552,04 *(1+floatingRate)</v>
      </c>
      <c r="F110" s="308">
        <f>SUM(F111:F112)</f>
        <v>0</v>
      </c>
      <c r="I110" s="308">
        <f>SUM(I111:I112)</f>
        <v>0</v>
      </c>
      <c r="K110" s="69"/>
      <c r="L110" s="70" t="s">
        <v>12</v>
      </c>
      <c r="M110" s="70">
        <f t="shared" ref="M110:N110" si="15">M22</f>
        <v>0.97799511002444994</v>
      </c>
      <c r="N110" s="70">
        <f t="shared" si="15"/>
        <v>0.91482317708028693</v>
      </c>
      <c r="O110" s="71"/>
    </row>
    <row r="111" spans="1:15" ht="14.4" thickTop="1" x14ac:dyDescent="0.25">
      <c r="B111" s="17" t="s">
        <v>340</v>
      </c>
      <c r="C111" s="51">
        <f>C103+C105</f>
        <v>18552.036199095048</v>
      </c>
      <c r="E111" s="51"/>
      <c r="F111" s="51">
        <f>SUM(F100:F106)</f>
        <v>0</v>
      </c>
      <c r="G111" s="51"/>
      <c r="H111" s="51"/>
      <c r="I111" s="51">
        <f>SUM(I100:I106)</f>
        <v>0</v>
      </c>
    </row>
    <row r="112" spans="1:15" x14ac:dyDescent="0.25">
      <c r="B112" s="17" t="s">
        <v>341</v>
      </c>
      <c r="C112" s="51">
        <f>C104+C106</f>
        <v>-18552.036199095048</v>
      </c>
      <c r="D112" s="17" t="str">
        <f>TEXT(-ROUND(C112,2),"#.##0,00")&amp;" *(1+floatingRate)"</f>
        <v>18.552,04 *(1+floatingRate)</v>
      </c>
    </row>
    <row r="113" spans="2:9" x14ac:dyDescent="0.25">
      <c r="B113" s="50"/>
      <c r="C113" s="51"/>
      <c r="D113" s="51"/>
      <c r="E113" s="51"/>
      <c r="F113" s="51"/>
      <c r="G113" s="51"/>
      <c r="H113" s="51"/>
      <c r="I113" s="51"/>
    </row>
    <row r="114" spans="2:9" x14ac:dyDescent="0.25">
      <c r="B114" s="50" t="s">
        <v>342</v>
      </c>
      <c r="C114" s="98">
        <v>0</v>
      </c>
      <c r="D114" s="51"/>
      <c r="E114" s="51"/>
      <c r="F114" s="55">
        <f>F98+F103+F105+C105</f>
        <v>8936.6515837104234</v>
      </c>
      <c r="G114" s="51"/>
      <c r="H114" s="51"/>
      <c r="I114" s="55">
        <f>I98+F103</f>
        <v>9615.3846153846443</v>
      </c>
    </row>
    <row r="115" spans="2:9" x14ac:dyDescent="0.25">
      <c r="B115" s="17" t="s">
        <v>343</v>
      </c>
      <c r="D115" s="51" t="str">
        <f>TEXT(-ROUND(C112,2),"#.##0,00")&amp;" *floatingRate"</f>
        <v>18.552,04 *floatingRate</v>
      </c>
    </row>
    <row r="116" spans="2:9" x14ac:dyDescent="0.25">
      <c r="F116" s="51"/>
    </row>
    <row r="117" spans="2:9" x14ac:dyDescent="0.25">
      <c r="B117" s="17" t="s">
        <v>81</v>
      </c>
    </row>
    <row r="118" spans="2:9" x14ac:dyDescent="0.25">
      <c r="B118" s="50" t="s">
        <v>83</v>
      </c>
      <c r="F118" s="51">
        <f>-SUM(C94:C95)*(0.09-0.04)</f>
        <v>10000</v>
      </c>
      <c r="G118" s="51"/>
      <c r="H118" s="51"/>
      <c r="I118" s="51">
        <f>-SUM(C94:C95)*(0.09-0.04)</f>
        <v>10000</v>
      </c>
    </row>
    <row r="119" spans="2:9" x14ac:dyDescent="0.25">
      <c r="B119" s="50" t="s">
        <v>84</v>
      </c>
      <c r="F119" s="51">
        <f>-SUM(C94:C95)*(0.04)</f>
        <v>8000</v>
      </c>
      <c r="G119" s="51"/>
      <c r="H119" s="51"/>
      <c r="I119" s="51">
        <f>-SUM(C94:C95)*(0.04)</f>
        <v>8000</v>
      </c>
    </row>
    <row r="120" spans="2:9" x14ac:dyDescent="0.25">
      <c r="B120" s="17" t="s">
        <v>184</v>
      </c>
      <c r="F120" s="51"/>
      <c r="G120" s="51"/>
      <c r="H120" s="51"/>
      <c r="I120" s="51"/>
    </row>
    <row r="121" spans="2:9" x14ac:dyDescent="0.25">
      <c r="B121" s="50" t="s">
        <v>80</v>
      </c>
      <c r="F121" s="51"/>
      <c r="G121" s="51"/>
      <c r="H121" s="51"/>
      <c r="I121" s="51"/>
    </row>
    <row r="122" spans="2:9" x14ac:dyDescent="0.25">
      <c r="B122" s="50" t="s">
        <v>84</v>
      </c>
      <c r="F122" s="51">
        <f>F103</f>
        <v>-8384.6153846153848</v>
      </c>
      <c r="G122" s="51"/>
      <c r="H122" s="51"/>
      <c r="I122" s="51">
        <f>F103</f>
        <v>-8384.6153846153848</v>
      </c>
    </row>
    <row r="123" spans="2:9" x14ac:dyDescent="0.25">
      <c r="F123" s="51"/>
      <c r="G123" s="51"/>
      <c r="H123" s="51"/>
      <c r="I123" s="51"/>
    </row>
    <row r="124" spans="2:9" x14ac:dyDescent="0.25">
      <c r="B124" s="17" t="s">
        <v>81</v>
      </c>
      <c r="F124" s="51"/>
      <c r="G124" s="51"/>
      <c r="H124" s="51"/>
      <c r="I124" s="51"/>
    </row>
    <row r="125" spans="2:9" x14ac:dyDescent="0.25">
      <c r="B125" s="50" t="s">
        <v>85</v>
      </c>
      <c r="F125" s="51">
        <f>-C96*(M103-M99)</f>
        <v>-499.99999999999977</v>
      </c>
      <c r="G125" s="51"/>
      <c r="H125" s="51"/>
      <c r="I125" s="51">
        <f>-SUM(I96)*(0.09-0.04)</f>
        <v>0</v>
      </c>
    </row>
    <row r="126" spans="2:9" x14ac:dyDescent="0.25">
      <c r="B126" s="50" t="s">
        <v>86</v>
      </c>
      <c r="F126" s="51">
        <f>-C96*(M99)</f>
        <v>-4000</v>
      </c>
      <c r="G126" s="51"/>
      <c r="H126" s="51"/>
      <c r="I126" s="51">
        <f>-SUM(I96)*(0.04)</f>
        <v>0</v>
      </c>
    </row>
    <row r="127" spans="2:9" x14ac:dyDescent="0.25">
      <c r="B127" s="17" t="s">
        <v>344</v>
      </c>
      <c r="F127" s="51"/>
      <c r="G127" s="51"/>
      <c r="H127" s="51"/>
      <c r="I127" s="51"/>
    </row>
    <row r="128" spans="2:9" x14ac:dyDescent="0.25">
      <c r="B128" s="50" t="s">
        <v>80</v>
      </c>
      <c r="F128" s="51"/>
      <c r="G128" s="51"/>
      <c r="H128" s="51"/>
      <c r="I128" s="51"/>
    </row>
    <row r="129" spans="2:9" x14ac:dyDescent="0.25">
      <c r="B129" s="50" t="s">
        <v>86</v>
      </c>
      <c r="F129" s="51">
        <f>F105+C105</f>
        <v>3821.2669683257991</v>
      </c>
      <c r="G129" s="51"/>
      <c r="H129" s="51"/>
      <c r="I129" s="51">
        <f>I105</f>
        <v>0</v>
      </c>
    </row>
    <row r="130" spans="2:9" x14ac:dyDescent="0.25">
      <c r="F130" s="51"/>
      <c r="G130" s="51"/>
      <c r="H130" s="51"/>
      <c r="I130" s="51"/>
    </row>
    <row r="131" spans="2:9" x14ac:dyDescent="0.25">
      <c r="B131" s="99" t="s">
        <v>87</v>
      </c>
      <c r="C131" s="43"/>
      <c r="D131" s="43"/>
      <c r="E131" s="43"/>
      <c r="F131" s="100">
        <f>F118+F125</f>
        <v>9500</v>
      </c>
      <c r="G131" s="100"/>
      <c r="H131" s="100"/>
      <c r="I131" s="100">
        <f t="shared" ref="I131" si="16">I118+I125</f>
        <v>10000</v>
      </c>
    </row>
    <row r="132" spans="2:9" x14ac:dyDescent="0.25">
      <c r="B132" s="54" t="s">
        <v>88</v>
      </c>
      <c r="C132" s="46"/>
      <c r="D132" s="46"/>
      <c r="E132" s="46"/>
      <c r="F132" s="55">
        <f>F119+F122+F126+F129</f>
        <v>-563.34841628958566</v>
      </c>
      <c r="G132" s="55"/>
      <c r="H132" s="55"/>
      <c r="I132" s="55">
        <f t="shared" ref="I132" si="17">I119+I122+I126+I129</f>
        <v>-384.61538461538476</v>
      </c>
    </row>
    <row r="133" spans="2:9" x14ac:dyDescent="0.25">
      <c r="B133" s="50" t="s">
        <v>342</v>
      </c>
      <c r="F133" s="51">
        <f>SUM(F131:F132)</f>
        <v>8936.6515837104143</v>
      </c>
      <c r="G133" s="51"/>
      <c r="H133" s="51"/>
      <c r="I133" s="51">
        <f t="shared" ref="I133" si="18">SUM(I131:I132)</f>
        <v>9615.3846153846152</v>
      </c>
    </row>
    <row r="134" spans="2:9" x14ac:dyDescent="0.25">
      <c r="B134" s="17" t="s">
        <v>343</v>
      </c>
      <c r="D134" s="51" t="str">
        <f>TEXT(-ROUND(C112,2),"#.##0,00")&amp;" *floatingRate"</f>
        <v>18.552,04 *floatingRate</v>
      </c>
    </row>
    <row r="138" spans="2:9" x14ac:dyDescent="0.25">
      <c r="C138" s="367" t="s">
        <v>338</v>
      </c>
      <c r="D138" s="367"/>
      <c r="E138" s="153"/>
    </row>
    <row r="139" spans="2:9" x14ac:dyDescent="0.25">
      <c r="B139" s="333" t="s">
        <v>345</v>
      </c>
      <c r="C139" s="208" t="s">
        <v>2</v>
      </c>
      <c r="D139" s="208" t="s">
        <v>346</v>
      </c>
      <c r="E139" s="326" t="s">
        <v>347</v>
      </c>
      <c r="F139" s="326" t="s">
        <v>348</v>
      </c>
    </row>
    <row r="140" spans="2:9" x14ac:dyDescent="0.25">
      <c r="B140" s="17" t="s">
        <v>349</v>
      </c>
      <c r="C140" s="51">
        <f>SUM(C7:C8)</f>
        <v>-200000</v>
      </c>
      <c r="E140" s="51">
        <f>SUM(F7:F8)</f>
        <v>18000</v>
      </c>
      <c r="F140" s="51">
        <f>SUM(I7:I8)</f>
        <v>218000.00000000003</v>
      </c>
    </row>
    <row r="141" spans="2:9" x14ac:dyDescent="0.25">
      <c r="B141" s="17" t="s">
        <v>350</v>
      </c>
      <c r="C141" s="55">
        <f>(C9)</f>
        <v>200000</v>
      </c>
      <c r="D141" s="55"/>
      <c r="E141" s="55">
        <f>F9</f>
        <v>-204500</v>
      </c>
      <c r="F141" s="55">
        <f>I9</f>
        <v>0</v>
      </c>
    </row>
    <row r="142" spans="2:9" x14ac:dyDescent="0.25">
      <c r="B142" s="35" t="str">
        <f>B100</f>
        <v>Zinsbuch-CF</v>
      </c>
      <c r="C142" s="96">
        <f>SUM(C140:C141)</f>
        <v>0</v>
      </c>
      <c r="D142" s="96"/>
      <c r="E142" s="96">
        <f t="shared" ref="E142:F142" si="19">SUM(E140:E141)</f>
        <v>-186500</v>
      </c>
      <c r="F142" s="96">
        <f t="shared" si="19"/>
        <v>218000.00000000003</v>
      </c>
    </row>
    <row r="144" spans="2:9" x14ac:dyDescent="0.25">
      <c r="B144" s="17" t="s">
        <v>351</v>
      </c>
    </row>
    <row r="145" spans="2:6" x14ac:dyDescent="0.25">
      <c r="B145" s="17" t="s">
        <v>356</v>
      </c>
      <c r="C145" s="328">
        <f>C19</f>
        <v>18552.036199095106</v>
      </c>
      <c r="D145" s="329"/>
      <c r="E145" s="329"/>
      <c r="F145" s="329"/>
    </row>
    <row r="146" spans="2:6" x14ac:dyDescent="0.25">
      <c r="B146" s="17" t="s">
        <v>353</v>
      </c>
      <c r="C146" s="329"/>
      <c r="D146" s="328"/>
      <c r="E146" s="328">
        <f>(C22)</f>
        <v>18.729864563851152</v>
      </c>
      <c r="F146" s="328">
        <f>(D22)</f>
        <v>-39.911610773066002</v>
      </c>
    </row>
    <row r="148" spans="2:6" x14ac:dyDescent="0.25">
      <c r="C148" s="367" t="s">
        <v>338</v>
      </c>
      <c r="D148" s="367"/>
    </row>
    <row r="149" spans="2:6" x14ac:dyDescent="0.25">
      <c r="B149" s="168" t="s">
        <v>354</v>
      </c>
      <c r="C149" s="208" t="s">
        <v>2</v>
      </c>
      <c r="D149" s="208" t="s">
        <v>346</v>
      </c>
      <c r="E149" s="326" t="s">
        <v>347</v>
      </c>
      <c r="F149" s="326" t="s">
        <v>348</v>
      </c>
    </row>
    <row r="150" spans="2:6" x14ac:dyDescent="0.25">
      <c r="B150" s="17" t="str">
        <f>A103</f>
        <v>Swap_1_Festzinszahler</v>
      </c>
      <c r="C150" s="51">
        <f>C103</f>
        <v>209615.38461538462</v>
      </c>
      <c r="E150" s="51">
        <f>F103</f>
        <v>-8384.6153846153848</v>
      </c>
      <c r="F150" s="51">
        <f>I103</f>
        <v>-218000.00000000003</v>
      </c>
    </row>
    <row r="151" spans="2:6" x14ac:dyDescent="0.25">
      <c r="B151" s="17" t="str">
        <f t="shared" ref="B151:B153" si="20">A104</f>
        <v>Swap_1_Floater-Zinsempfänger</v>
      </c>
      <c r="C151" s="51">
        <f t="shared" ref="C151:C153" si="21">C104</f>
        <v>-209615.38461538462</v>
      </c>
      <c r="D151" s="17" t="str">
        <f>D104</f>
        <v>209.615,38 * (1+floatingRate)</v>
      </c>
      <c r="E151" s="51"/>
      <c r="F151" s="51"/>
    </row>
    <row r="152" spans="2:6" x14ac:dyDescent="0.25">
      <c r="B152" s="17" t="str">
        <f t="shared" si="20"/>
        <v>Swap_2_Festzinsempfänger</v>
      </c>
      <c r="C152" s="51">
        <f t="shared" si="21"/>
        <v>-191063.34841628958</v>
      </c>
      <c r="E152" s="51">
        <f>F105</f>
        <v>194884.61538461538</v>
      </c>
      <c r="F152" s="51"/>
    </row>
    <row r="153" spans="2:6" x14ac:dyDescent="0.25">
      <c r="B153" s="17" t="str">
        <f t="shared" si="20"/>
        <v>Swap_2_Floater-Zinszahler</v>
      </c>
      <c r="C153" s="55">
        <f t="shared" si="21"/>
        <v>191063.34841628958</v>
      </c>
      <c r="D153" s="55" t="str">
        <f>D106</f>
        <v>-191.063,35 *(1+floatingRate)</v>
      </c>
      <c r="E153" s="55"/>
      <c r="F153" s="55"/>
    </row>
    <row r="154" spans="2:6" x14ac:dyDescent="0.25">
      <c r="B154" s="35" t="s">
        <v>355</v>
      </c>
      <c r="C154" s="96">
        <f>SUM(C150:C153)</f>
        <v>0</v>
      </c>
      <c r="D154" s="96" t="str">
        <f>D107</f>
        <v>18.552,04 *(1+floatingRate)</v>
      </c>
      <c r="E154" s="96">
        <f t="shared" ref="E154:F154" si="22">SUM(E150:E153)</f>
        <v>186500</v>
      </c>
      <c r="F154" s="96">
        <f t="shared" si="22"/>
        <v>-218000.00000000003</v>
      </c>
    </row>
    <row r="156" spans="2:6" x14ac:dyDescent="0.25">
      <c r="B156" s="17" t="s">
        <v>351</v>
      </c>
    </row>
    <row r="157" spans="2:6" x14ac:dyDescent="0.25">
      <c r="B157" s="17" t="s">
        <v>356</v>
      </c>
      <c r="C157" s="328">
        <f>C31</f>
        <v>0</v>
      </c>
      <c r="D157" s="329"/>
      <c r="E157" s="329"/>
      <c r="F157" s="329"/>
    </row>
    <row r="158" spans="2:6" x14ac:dyDescent="0.25">
      <c r="B158" s="17" t="s">
        <v>353</v>
      </c>
      <c r="C158" s="329"/>
      <c r="D158" s="328" t="s">
        <v>357</v>
      </c>
      <c r="E158" s="328">
        <f>-E146</f>
        <v>-18.729864563851152</v>
      </c>
      <c r="F158" s="328">
        <f>-F146</f>
        <v>39.911610773066002</v>
      </c>
    </row>
    <row r="160" spans="2:6" x14ac:dyDescent="0.25">
      <c r="C160" s="367" t="s">
        <v>338</v>
      </c>
      <c r="D160" s="367"/>
    </row>
    <row r="161" spans="2:6" x14ac:dyDescent="0.25">
      <c r="B161" s="189" t="s">
        <v>358</v>
      </c>
      <c r="C161" s="208" t="s">
        <v>2</v>
      </c>
      <c r="D161" s="208" t="s">
        <v>346</v>
      </c>
      <c r="E161" s="326" t="s">
        <v>347</v>
      </c>
      <c r="F161" s="326" t="s">
        <v>348</v>
      </c>
    </row>
    <row r="162" spans="2:6" x14ac:dyDescent="0.25">
      <c r="B162" s="17" t="str">
        <f>B139</f>
        <v>Grund- und Kundengeschäft</v>
      </c>
      <c r="C162" s="51">
        <f>C142</f>
        <v>0</v>
      </c>
      <c r="E162" s="51">
        <f t="shared" ref="E162:F162" si="23">E142</f>
        <v>-186500</v>
      </c>
      <c r="F162" s="51">
        <f t="shared" si="23"/>
        <v>218000.00000000003</v>
      </c>
    </row>
    <row r="163" spans="2:6" x14ac:dyDescent="0.25">
      <c r="B163" s="17" t="str">
        <f>B149</f>
        <v>Steuerungsportfolio</v>
      </c>
      <c r="C163" s="51">
        <f>C154</f>
        <v>0</v>
      </c>
      <c r="D163" s="51" t="str">
        <f>D154</f>
        <v>18.552,04 *(1+floatingRate)</v>
      </c>
      <c r="E163" s="51">
        <f t="shared" ref="E163:F163" si="24">E154</f>
        <v>186500</v>
      </c>
      <c r="F163" s="51">
        <f t="shared" si="24"/>
        <v>-218000.00000000003</v>
      </c>
    </row>
    <row r="164" spans="2:6" x14ac:dyDescent="0.25">
      <c r="B164" s="35" t="s">
        <v>355</v>
      </c>
      <c r="C164" s="96">
        <f>SUM(C160:C163)</f>
        <v>0</v>
      </c>
      <c r="D164" s="96" t="str">
        <f>D107</f>
        <v>18.552,04 *(1+floatingRate)</v>
      </c>
      <c r="E164" s="96">
        <f t="shared" ref="E164:F164" si="25">SUM(E160:E163)</f>
        <v>0</v>
      </c>
      <c r="F164" s="96">
        <f t="shared" si="25"/>
        <v>0</v>
      </c>
    </row>
    <row r="166" spans="2:6" x14ac:dyDescent="0.25">
      <c r="B166" s="17" t="s">
        <v>351</v>
      </c>
    </row>
    <row r="167" spans="2:6" x14ac:dyDescent="0.25">
      <c r="B167" s="17" t="s">
        <v>356</v>
      </c>
      <c r="C167" s="328">
        <f>C145+C157</f>
        <v>18552.036199095106</v>
      </c>
      <c r="D167" s="329"/>
      <c r="E167" s="329"/>
      <c r="F167" s="329"/>
    </row>
    <row r="168" spans="2:6" x14ac:dyDescent="0.25">
      <c r="B168" s="17" t="s">
        <v>353</v>
      </c>
      <c r="C168" s="329"/>
      <c r="D168" s="328" t="s">
        <v>357</v>
      </c>
      <c r="E168" s="328">
        <f>E146+E158</f>
        <v>0</v>
      </c>
      <c r="F168" s="328">
        <f>F146+F158</f>
        <v>0</v>
      </c>
    </row>
    <row r="171" spans="2:6" x14ac:dyDescent="0.25">
      <c r="B171" s="189" t="s">
        <v>359</v>
      </c>
    </row>
    <row r="172" spans="2:6" x14ac:dyDescent="0.25">
      <c r="C172" s="367" t="s">
        <v>338</v>
      </c>
      <c r="D172" s="367"/>
    </row>
    <row r="173" spans="2:6" x14ac:dyDescent="0.25">
      <c r="C173" s="208" t="s">
        <v>2</v>
      </c>
      <c r="D173" s="208" t="s">
        <v>346</v>
      </c>
      <c r="E173" s="326" t="s">
        <v>347</v>
      </c>
      <c r="F173" s="326" t="s">
        <v>348</v>
      </c>
    </row>
    <row r="174" spans="2:6" x14ac:dyDescent="0.25">
      <c r="B174" s="17" t="str">
        <f>B131</f>
        <v>Konditionsmargen</v>
      </c>
      <c r="E174" s="51">
        <f>F131</f>
        <v>9500</v>
      </c>
      <c r="F174" s="51">
        <f>I131</f>
        <v>10000</v>
      </c>
    </row>
    <row r="175" spans="2:6" x14ac:dyDescent="0.25">
      <c r="B175" s="17" t="str">
        <f t="shared" ref="B175:B177" si="26">B132</f>
        <v>Kapitalmarkt-Zins"kosten"</v>
      </c>
      <c r="E175" s="51">
        <f t="shared" ref="E175:E176" si="27">F132</f>
        <v>-563.34841628958566</v>
      </c>
      <c r="F175" s="51">
        <f t="shared" ref="F175:F176" si="28">I132</f>
        <v>-384.61538461538476</v>
      </c>
    </row>
    <row r="176" spans="2:6" x14ac:dyDescent="0.25">
      <c r="B176" s="283" t="str">
        <f t="shared" si="26"/>
        <v>Zinsergebnisprojektion_fixed</v>
      </c>
      <c r="C176" s="285"/>
      <c r="D176" s="285"/>
      <c r="E176" s="330">
        <f t="shared" si="27"/>
        <v>8936.6515837104143</v>
      </c>
      <c r="F176" s="331">
        <f t="shared" si="28"/>
        <v>9615.3846153846152</v>
      </c>
    </row>
    <row r="177" spans="2:6" x14ac:dyDescent="0.25">
      <c r="B177" s="148" t="str">
        <f t="shared" si="26"/>
        <v>Zinsergebnisprojektion_float</v>
      </c>
      <c r="C177" s="46"/>
      <c r="D177" s="55" t="str">
        <f>D134</f>
        <v>18.552,04 *floatingRate</v>
      </c>
      <c r="E177" s="55" t="s">
        <v>360</v>
      </c>
      <c r="F177" s="332" t="s">
        <v>360</v>
      </c>
    </row>
  </sheetData>
  <mergeCells count="10">
    <mergeCell ref="C109:D109"/>
    <mergeCell ref="C138:D138"/>
    <mergeCell ref="C148:D148"/>
    <mergeCell ref="C160:D160"/>
    <mergeCell ref="C172:D172"/>
    <mergeCell ref="G56:I58"/>
    <mergeCell ref="K5:K8"/>
    <mergeCell ref="K43:K46"/>
    <mergeCell ref="G18:I20"/>
    <mergeCell ref="K93:K96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workbookViewId="0">
      <selection activeCell="C162" sqref="C162"/>
    </sheetView>
  </sheetViews>
  <sheetFormatPr baseColWidth="10" defaultColWidth="11.5546875" defaultRowHeight="13.8" x14ac:dyDescent="0.25"/>
  <cols>
    <col min="1" max="1" width="16.88671875" style="17" customWidth="1"/>
    <col min="2" max="2" width="26.109375" style="17" customWidth="1"/>
    <col min="3" max="3" width="19.44140625" style="17" bestFit="1" customWidth="1"/>
    <col min="4" max="4" width="12.6640625" style="17" bestFit="1" customWidth="1"/>
    <col min="5" max="9" width="11.5546875" style="17"/>
    <col min="10" max="10" width="23.33203125" style="17" customWidth="1"/>
    <col min="11" max="16384" width="11.5546875" style="17"/>
  </cols>
  <sheetData>
    <row r="1" spans="1:15" ht="17.399999999999999" x14ac:dyDescent="0.25">
      <c r="A1" s="19" t="s">
        <v>245</v>
      </c>
    </row>
    <row r="2" spans="1:15" s="33" customFormat="1" x14ac:dyDescent="0.25">
      <c r="A2" s="33" t="s">
        <v>55</v>
      </c>
    </row>
    <row r="3" spans="1:15" ht="14.4" thickBot="1" x14ac:dyDescent="0.3">
      <c r="C3" s="17" t="s">
        <v>2</v>
      </c>
      <c r="F3" s="17" t="s">
        <v>3</v>
      </c>
      <c r="I3" s="17" t="s">
        <v>4</v>
      </c>
    </row>
    <row r="4" spans="1:15" x14ac:dyDescent="0.25">
      <c r="A4" s="35" t="s">
        <v>90</v>
      </c>
      <c r="B4" s="35"/>
      <c r="C4" s="36">
        <f>'Ertragswertkalkül mit Marge'!C113+'Ertragswertkalkül mit Marge'!C120</f>
        <v>0</v>
      </c>
      <c r="D4" s="37"/>
      <c r="E4" s="37"/>
      <c r="F4" s="37">
        <f>'Ertragswertkalkül mit Marge'!F113+'Ertragswertkalkül mit Marge'!F120</f>
        <v>0</v>
      </c>
      <c r="G4" s="37"/>
      <c r="H4" s="37"/>
      <c r="I4" s="38">
        <f>'Ertragswertkalkül mit Marge'!I113+'Ertragswertkalkül mit Marge'!I120</f>
        <v>0</v>
      </c>
      <c r="K4" s="39"/>
      <c r="L4" s="40" t="s">
        <v>44</v>
      </c>
      <c r="M4" s="41">
        <v>1</v>
      </c>
      <c r="N4" s="41">
        <v>2</v>
      </c>
      <c r="O4" s="42"/>
    </row>
    <row r="5" spans="1:15" x14ac:dyDescent="0.25">
      <c r="K5" s="365" t="s">
        <v>2</v>
      </c>
      <c r="L5" s="43" t="s">
        <v>49</v>
      </c>
      <c r="M5" s="44">
        <v>0.02</v>
      </c>
      <c r="N5" s="44">
        <v>0.04</v>
      </c>
      <c r="O5" s="45"/>
    </row>
    <row r="6" spans="1:15" x14ac:dyDescent="0.25">
      <c r="A6" s="17" t="s">
        <v>0</v>
      </c>
      <c r="B6" s="17" t="s">
        <v>13</v>
      </c>
      <c r="C6" s="17" t="s">
        <v>2</v>
      </c>
      <c r="F6" s="17" t="s">
        <v>3</v>
      </c>
      <c r="I6" s="17" t="s">
        <v>4</v>
      </c>
      <c r="K6" s="365"/>
      <c r="L6" s="43" t="s">
        <v>45</v>
      </c>
      <c r="M6" s="44">
        <v>0.03</v>
      </c>
      <c r="N6" s="44">
        <v>0.05</v>
      </c>
      <c r="O6" s="45"/>
    </row>
    <row r="7" spans="1:15" x14ac:dyDescent="0.25">
      <c r="A7" s="17" t="s">
        <v>51</v>
      </c>
      <c r="C7" s="51">
        <v>-100000</v>
      </c>
      <c r="D7" s="51"/>
      <c r="E7" s="51"/>
      <c r="F7" s="51">
        <f>-C7*N11</f>
        <v>4000</v>
      </c>
      <c r="G7" s="51"/>
      <c r="H7" s="51"/>
      <c r="I7" s="51">
        <f>-C7*(1+N11)</f>
        <v>104000</v>
      </c>
      <c r="K7" s="365"/>
      <c r="L7" s="43" t="s">
        <v>46</v>
      </c>
      <c r="M7" s="44">
        <v>2.5000000000000001E-3</v>
      </c>
      <c r="N7" s="44">
        <v>5.0000000000000001E-3</v>
      </c>
      <c r="O7" s="45"/>
    </row>
    <row r="8" spans="1:15" x14ac:dyDescent="0.25">
      <c r="A8" s="17" t="s">
        <v>51</v>
      </c>
      <c r="C8" s="51">
        <v>-100000</v>
      </c>
      <c r="D8" s="51"/>
      <c r="E8" s="51"/>
      <c r="F8" s="51">
        <f>-C8*N11</f>
        <v>4000</v>
      </c>
      <c r="G8" s="51"/>
      <c r="H8" s="51"/>
      <c r="I8" s="51">
        <f>-C8*(1+N11)</f>
        <v>104000</v>
      </c>
      <c r="K8" s="365"/>
      <c r="L8" s="43"/>
      <c r="M8" s="43"/>
      <c r="N8" s="43"/>
      <c r="O8" s="45"/>
    </row>
    <row r="9" spans="1:15" x14ac:dyDescent="0.25">
      <c r="A9" s="46" t="s">
        <v>52</v>
      </c>
      <c r="C9" s="55">
        <v>200000</v>
      </c>
      <c r="D9" s="51"/>
      <c r="E9" s="51"/>
      <c r="F9" s="55">
        <f>-C9*(1+M11)</f>
        <v>-204000</v>
      </c>
      <c r="G9" s="51"/>
      <c r="H9" s="51"/>
      <c r="I9" s="55"/>
      <c r="K9" s="47"/>
      <c r="L9" s="43"/>
      <c r="M9" s="43"/>
      <c r="N9" s="43"/>
      <c r="O9" s="45"/>
    </row>
    <row r="10" spans="1:15" x14ac:dyDescent="0.25">
      <c r="A10" s="48" t="s">
        <v>89</v>
      </c>
      <c r="B10" s="35"/>
      <c r="C10" s="51">
        <f>SUM(C7:C9)</f>
        <v>0</v>
      </c>
      <c r="D10" s="51"/>
      <c r="E10" s="51"/>
      <c r="F10" s="51">
        <f>SUM(F7:F9)</f>
        <v>-196000</v>
      </c>
      <c r="G10" s="51"/>
      <c r="H10" s="51"/>
      <c r="I10" s="51">
        <f>SUM(I7:I9)</f>
        <v>208000</v>
      </c>
      <c r="K10" s="47"/>
      <c r="L10" s="43"/>
      <c r="M10" s="43">
        <v>1</v>
      </c>
      <c r="N10" s="43">
        <v>2</v>
      </c>
      <c r="O10" s="45"/>
    </row>
    <row r="11" spans="1:15" x14ac:dyDescent="0.25">
      <c r="K11" s="47" t="s">
        <v>43</v>
      </c>
      <c r="L11" s="43" t="s">
        <v>7</v>
      </c>
      <c r="M11" s="44">
        <f>M5+P11</f>
        <v>0.02</v>
      </c>
      <c r="N11" s="44">
        <f>N5</f>
        <v>0.04</v>
      </c>
      <c r="O11" s="45"/>
    </row>
    <row r="12" spans="1:15" x14ac:dyDescent="0.25">
      <c r="K12" s="47"/>
      <c r="L12" s="43"/>
      <c r="M12" s="43">
        <v>1</v>
      </c>
      <c r="N12" s="43">
        <v>2</v>
      </c>
      <c r="O12" s="45"/>
    </row>
    <row r="13" spans="1:15" x14ac:dyDescent="0.25">
      <c r="E13" s="50" t="s">
        <v>53</v>
      </c>
      <c r="F13" s="51">
        <f>F7+F8</f>
        <v>8000</v>
      </c>
      <c r="G13" s="51"/>
      <c r="H13" s="52" t="s">
        <v>53</v>
      </c>
      <c r="I13" s="53">
        <f>I7+I8+C7+C8</f>
        <v>8000</v>
      </c>
      <c r="K13" s="47"/>
      <c r="L13" s="43" t="s">
        <v>11</v>
      </c>
      <c r="M13" s="44">
        <f>M5+M6</f>
        <v>0.05</v>
      </c>
      <c r="N13" s="44">
        <f>N5+N6</f>
        <v>0.09</v>
      </c>
      <c r="O13" s="45"/>
    </row>
    <row r="14" spans="1:15" x14ac:dyDescent="0.25">
      <c r="E14" s="54" t="s">
        <v>116</v>
      </c>
      <c r="F14" s="55">
        <f>F9+C9</f>
        <v>-4000</v>
      </c>
      <c r="G14" s="55"/>
      <c r="H14" s="56" t="s">
        <v>116</v>
      </c>
      <c r="I14" s="57">
        <f>(M18*1/N18-1)*-C9</f>
        <v>-12244.897959183643</v>
      </c>
      <c r="J14" s="17" t="s">
        <v>63</v>
      </c>
      <c r="K14" s="47" t="s">
        <v>102</v>
      </c>
      <c r="L14" s="43"/>
      <c r="M14" s="43">
        <v>1</v>
      </c>
      <c r="N14" s="43">
        <v>2</v>
      </c>
      <c r="O14" s="45"/>
    </row>
    <row r="15" spans="1:15" x14ac:dyDescent="0.25">
      <c r="E15" s="58" t="s">
        <v>54</v>
      </c>
      <c r="F15" s="53">
        <f>F13+F14</f>
        <v>4000</v>
      </c>
      <c r="G15" s="59"/>
      <c r="H15" s="60" t="s">
        <v>54</v>
      </c>
      <c r="I15" s="61">
        <f>I13+I14</f>
        <v>-4244.8979591836433</v>
      </c>
      <c r="K15" s="47"/>
      <c r="L15" s="43" t="s">
        <v>12</v>
      </c>
      <c r="M15" s="44">
        <f>M5+M7</f>
        <v>2.2499999999999999E-2</v>
      </c>
      <c r="N15" s="44">
        <f>N5+N7</f>
        <v>4.4999999999999998E-2</v>
      </c>
      <c r="O15" s="45"/>
    </row>
    <row r="16" spans="1:15" x14ac:dyDescent="0.25">
      <c r="C16" s="62">
        <f>F7*M18+I7*N18</f>
        <v>100000</v>
      </c>
      <c r="D16" s="62"/>
      <c r="K16" s="47"/>
      <c r="L16" s="43"/>
      <c r="M16" s="43"/>
      <c r="N16" s="43"/>
      <c r="O16" s="45"/>
    </row>
    <row r="17" spans="2:16" x14ac:dyDescent="0.25">
      <c r="C17" s="62">
        <f>F8*M18+I8*N18</f>
        <v>100000</v>
      </c>
      <c r="D17" s="62"/>
      <c r="E17" s="63"/>
      <c r="F17" s="63"/>
      <c r="G17" s="63"/>
      <c r="H17" s="63"/>
      <c r="I17" s="63"/>
      <c r="J17" s="63"/>
      <c r="K17" s="47"/>
      <c r="L17" s="43"/>
      <c r="M17" s="43">
        <v>1</v>
      </c>
      <c r="N17" s="43">
        <v>2</v>
      </c>
      <c r="O17" s="45"/>
    </row>
    <row r="18" spans="2:16" ht="15" customHeight="1" x14ac:dyDescent="0.25">
      <c r="C18" s="64">
        <f>F9*M18</f>
        <v>-200000</v>
      </c>
      <c r="D18" s="62"/>
      <c r="G18" s="364" t="s">
        <v>62</v>
      </c>
      <c r="H18" s="364"/>
      <c r="I18" s="364"/>
      <c r="K18" s="47" t="s">
        <v>42</v>
      </c>
      <c r="L18" s="43" t="s">
        <v>7</v>
      </c>
      <c r="M18" s="43">
        <f>1/(1+M11)</f>
        <v>0.98039215686274506</v>
      </c>
      <c r="N18" s="43">
        <f>(1-N11*SUM($M$18:M18))/(1+N11)</f>
        <v>0.92383107088989447</v>
      </c>
      <c r="O18" s="45"/>
    </row>
    <row r="19" spans="2:16" x14ac:dyDescent="0.25">
      <c r="B19" s="58" t="s">
        <v>59</v>
      </c>
      <c r="C19" s="65">
        <f>SUM(C16:C18)</f>
        <v>0</v>
      </c>
      <c r="D19" s="51">
        <f>F10*M18+I10*N18</f>
        <v>0</v>
      </c>
      <c r="E19" s="51">
        <f>F15*M18+I13*N18 +(C9*M18*1/N18-C9)*N18*-1</f>
        <v>3.092281986027956E-11</v>
      </c>
      <c r="G19" s="364"/>
      <c r="H19" s="364"/>
      <c r="I19" s="364"/>
      <c r="K19" s="47"/>
      <c r="L19" s="43"/>
      <c r="M19" s="43">
        <v>1</v>
      </c>
      <c r="N19" s="43">
        <v>2</v>
      </c>
      <c r="O19" s="45"/>
    </row>
    <row r="20" spans="2:16" x14ac:dyDescent="0.25">
      <c r="G20" s="364"/>
      <c r="H20" s="364"/>
      <c r="I20" s="364"/>
      <c r="K20" s="47"/>
      <c r="L20" s="43" t="s">
        <v>11</v>
      </c>
      <c r="M20" s="43">
        <f t="shared" ref="M20:M22" si="0">1/(1+M13)</f>
        <v>0.95238095238095233</v>
      </c>
      <c r="N20" s="43">
        <f>(1-N13*SUM($M$20:M20))/(1+N13)</f>
        <v>0.83879423328964609</v>
      </c>
      <c r="O20" s="45"/>
    </row>
    <row r="21" spans="2:16" x14ac:dyDescent="0.25">
      <c r="B21" s="50" t="s">
        <v>103</v>
      </c>
      <c r="C21" s="66">
        <v>1</v>
      </c>
      <c r="D21" s="66">
        <v>2</v>
      </c>
      <c r="E21" s="67"/>
      <c r="K21" s="47"/>
      <c r="L21" s="43"/>
      <c r="M21" s="43">
        <v>1</v>
      </c>
      <c r="N21" s="43">
        <v>2</v>
      </c>
      <c r="O21" s="45"/>
    </row>
    <row r="22" spans="2:16" ht="14.4" thickBot="1" x14ac:dyDescent="0.3">
      <c r="B22" s="50" t="s">
        <v>68</v>
      </c>
      <c r="C22" s="68">
        <v>19.605920988164144</v>
      </c>
      <c r="D22" s="68">
        <v>-38.080802939395653</v>
      </c>
      <c r="K22" s="69"/>
      <c r="L22" s="70" t="s">
        <v>12</v>
      </c>
      <c r="M22" s="70">
        <f t="shared" si="0"/>
        <v>0.97799511002444994</v>
      </c>
      <c r="N22" s="70">
        <f>(1-N15*SUM($M$22:M22))/(1+N15)</f>
        <v>0.91482317708028693</v>
      </c>
      <c r="O22" s="71"/>
    </row>
    <row r="23" spans="2:16" x14ac:dyDescent="0.25">
      <c r="B23" s="50"/>
      <c r="C23" s="68"/>
      <c r="D23" s="68"/>
      <c r="K23" s="43"/>
      <c r="L23" s="43"/>
      <c r="M23" s="43"/>
      <c r="N23" s="43"/>
      <c r="O23" s="43"/>
    </row>
    <row r="25" spans="2:16" x14ac:dyDescent="0.25">
      <c r="B25" s="72" t="s">
        <v>56</v>
      </c>
      <c r="F25" s="46" t="s">
        <v>60</v>
      </c>
      <c r="I25" s="73" t="s">
        <v>61</v>
      </c>
      <c r="P25" s="67"/>
    </row>
    <row r="26" spans="2:16" x14ac:dyDescent="0.25">
      <c r="B26" s="74" t="s">
        <v>58</v>
      </c>
      <c r="E26" s="50" t="s">
        <v>91</v>
      </c>
      <c r="F26" s="51">
        <f>F4</f>
        <v>0</v>
      </c>
      <c r="I26" s="51">
        <f>I4</f>
        <v>0</v>
      </c>
    </row>
    <row r="27" spans="2:16" x14ac:dyDescent="0.25">
      <c r="E27" s="50" t="s">
        <v>92</v>
      </c>
      <c r="F27" s="55">
        <f>SUM(F13:F14)</f>
        <v>4000</v>
      </c>
      <c r="I27" s="55">
        <f>I15</f>
        <v>-4244.8979591836433</v>
      </c>
    </row>
    <row r="28" spans="2:16" x14ac:dyDescent="0.25">
      <c r="B28" s="17" t="s">
        <v>24</v>
      </c>
      <c r="E28" s="50" t="s">
        <v>93</v>
      </c>
      <c r="F28" s="51">
        <f>SUM(F26:F27)</f>
        <v>4000</v>
      </c>
      <c r="G28" s="51"/>
      <c r="H28" s="51"/>
      <c r="I28" s="51">
        <f t="shared" ref="I28" si="1">SUM(I26:I27)</f>
        <v>-4244.8979591836433</v>
      </c>
    </row>
    <row r="30" spans="2:16" x14ac:dyDescent="0.25">
      <c r="B30" s="50" t="s">
        <v>71</v>
      </c>
      <c r="D30" s="207"/>
      <c r="E30" s="50" t="s">
        <v>51</v>
      </c>
      <c r="F30" s="51">
        <f>'Ertragswertkalkül mit Marge'!F113/2</f>
        <v>0</v>
      </c>
      <c r="G30" s="51"/>
      <c r="H30" s="51"/>
      <c r="I30" s="51">
        <f>'Ertragswertkalkül mit Marge'!I113/2</f>
        <v>0</v>
      </c>
    </row>
    <row r="31" spans="2:16" x14ac:dyDescent="0.25">
      <c r="B31" s="75" t="s">
        <v>72</v>
      </c>
      <c r="D31" s="207"/>
      <c r="E31" s="50" t="s">
        <v>51</v>
      </c>
      <c r="F31" s="51">
        <f>'Ertragswertkalkül mit Marge'!F113/2</f>
        <v>0</v>
      </c>
      <c r="G31" s="51"/>
      <c r="H31" s="51"/>
      <c r="I31" s="51">
        <f>'Ertragswertkalkül mit Marge'!I113/2</f>
        <v>0</v>
      </c>
    </row>
    <row r="32" spans="2:16" x14ac:dyDescent="0.25">
      <c r="B32" s="75" t="s">
        <v>57</v>
      </c>
      <c r="E32" s="50" t="s">
        <v>52</v>
      </c>
      <c r="F32" s="55">
        <f>'Ertragswertkalkül mit Marge'!F120</f>
        <v>0</v>
      </c>
      <c r="I32" s="101">
        <f>F32</f>
        <v>0</v>
      </c>
    </row>
    <row r="33" spans="1:18" x14ac:dyDescent="0.25">
      <c r="B33" s="75"/>
      <c r="E33" s="50" t="s">
        <v>91</v>
      </c>
      <c r="F33" s="51">
        <f>SUM(F30:F32)</f>
        <v>0</v>
      </c>
      <c r="G33" s="51"/>
      <c r="H33" s="51"/>
      <c r="I33" s="78">
        <f>SUM(I30:I32)</f>
        <v>0</v>
      </c>
      <c r="M33" s="67"/>
    </row>
    <row r="34" spans="1:18" x14ac:dyDescent="0.25">
      <c r="B34" s="75"/>
      <c r="E34" s="50" t="s">
        <v>51</v>
      </c>
      <c r="F34" s="51">
        <f>F8</f>
        <v>4000</v>
      </c>
      <c r="G34" s="51"/>
      <c r="H34" s="51"/>
      <c r="I34" s="51">
        <f>I8+C8</f>
        <v>4000</v>
      </c>
    </row>
    <row r="35" spans="1:18" x14ac:dyDescent="0.25">
      <c r="B35" s="75"/>
      <c r="E35" s="50" t="s">
        <v>51</v>
      </c>
      <c r="F35" s="51">
        <f>F7</f>
        <v>4000</v>
      </c>
      <c r="G35" s="51"/>
      <c r="H35" s="51"/>
      <c r="I35" s="51">
        <f>F8</f>
        <v>4000</v>
      </c>
    </row>
    <row r="36" spans="1:18" x14ac:dyDescent="0.25">
      <c r="B36" s="75"/>
      <c r="E36" s="50" t="s">
        <v>52</v>
      </c>
      <c r="F36" s="55">
        <f>F9+C9</f>
        <v>-4000</v>
      </c>
      <c r="G36" s="51"/>
      <c r="H36" s="51"/>
      <c r="I36" s="77">
        <f>F36</f>
        <v>-4000</v>
      </c>
    </row>
    <row r="37" spans="1:18" ht="14.4" thickBot="1" x14ac:dyDescent="0.3">
      <c r="B37" s="75"/>
      <c r="D37" s="97"/>
      <c r="E37" s="102" t="s">
        <v>92</v>
      </c>
      <c r="F37" s="103">
        <f>SUM(F34:F36)</f>
        <v>4000</v>
      </c>
      <c r="G37" s="51"/>
      <c r="H37" s="51"/>
      <c r="I37" s="104">
        <f>SUM(I34:I36)</f>
        <v>4000</v>
      </c>
    </row>
    <row r="38" spans="1:18" ht="16.2" thickTop="1" x14ac:dyDescent="0.3">
      <c r="B38" s="17" t="s">
        <v>24</v>
      </c>
      <c r="E38" s="7" t="s">
        <v>94</v>
      </c>
      <c r="F38" s="51">
        <f>F37+F33</f>
        <v>4000</v>
      </c>
      <c r="I38" s="51">
        <f>I37+I33</f>
        <v>4000</v>
      </c>
    </row>
    <row r="40" spans="1:18" s="33" customFormat="1" x14ac:dyDescent="0.25">
      <c r="A40" s="33" t="s">
        <v>75</v>
      </c>
    </row>
    <row r="41" spans="1:18" ht="14.4" thickBot="1" x14ac:dyDescent="0.3"/>
    <row r="42" spans="1:18" x14ac:dyDescent="0.25">
      <c r="K42" s="39"/>
      <c r="L42" s="40" t="s">
        <v>44</v>
      </c>
      <c r="M42" s="41">
        <v>1</v>
      </c>
      <c r="N42" s="41">
        <v>2</v>
      </c>
      <c r="O42" s="42"/>
    </row>
    <row r="43" spans="1:18" x14ac:dyDescent="0.25">
      <c r="K43" s="366" t="s">
        <v>50</v>
      </c>
      <c r="L43" s="43" t="s">
        <v>49</v>
      </c>
      <c r="M43" s="44">
        <f t="shared" ref="M43:N45" si="2">M5+P43</f>
        <v>0.04</v>
      </c>
      <c r="N43" s="44">
        <f t="shared" si="2"/>
        <v>0.06</v>
      </c>
      <c r="O43" s="45"/>
      <c r="P43" s="17">
        <v>0.02</v>
      </c>
      <c r="Q43" s="17">
        <v>0.02</v>
      </c>
      <c r="R43" s="17" t="s">
        <v>70</v>
      </c>
    </row>
    <row r="44" spans="1:18" x14ac:dyDescent="0.25">
      <c r="A44" s="17" t="s">
        <v>0</v>
      </c>
      <c r="B44" s="17" t="s">
        <v>13</v>
      </c>
      <c r="C44" s="17" t="s">
        <v>2</v>
      </c>
      <c r="F44" s="17" t="s">
        <v>3</v>
      </c>
      <c r="I44" s="17" t="s">
        <v>4</v>
      </c>
      <c r="K44" s="365"/>
      <c r="L44" s="43" t="s">
        <v>45</v>
      </c>
      <c r="M44" s="44">
        <f t="shared" si="2"/>
        <v>0.03</v>
      </c>
      <c r="N44" s="44">
        <f t="shared" si="2"/>
        <v>0.05</v>
      </c>
      <c r="O44" s="45"/>
      <c r="P44" s="17">
        <v>0</v>
      </c>
      <c r="Q44" s="17">
        <v>0</v>
      </c>
      <c r="R44" s="17" t="s">
        <v>69</v>
      </c>
    </row>
    <row r="45" spans="1:18" x14ac:dyDescent="0.25">
      <c r="A45" s="17" t="s">
        <v>51</v>
      </c>
      <c r="C45" s="105">
        <f>C7</f>
        <v>-100000</v>
      </c>
      <c r="D45" s="105"/>
      <c r="E45" s="105"/>
      <c r="F45" s="105">
        <f t="shared" ref="F45:I45" si="3">F7</f>
        <v>4000</v>
      </c>
      <c r="G45" s="105"/>
      <c r="H45" s="105"/>
      <c r="I45" s="105">
        <f t="shared" si="3"/>
        <v>104000</v>
      </c>
      <c r="K45" s="365"/>
      <c r="L45" s="43" t="s">
        <v>46</v>
      </c>
      <c r="M45" s="44">
        <f t="shared" si="2"/>
        <v>2.5000000000000001E-3</v>
      </c>
      <c r="N45" s="44">
        <f t="shared" si="2"/>
        <v>5.0000000000000001E-3</v>
      </c>
      <c r="O45" s="45"/>
      <c r="P45" s="17">
        <v>0</v>
      </c>
      <c r="Q45" s="17">
        <v>0</v>
      </c>
      <c r="R45" s="17" t="s">
        <v>74</v>
      </c>
    </row>
    <row r="46" spans="1:18" x14ac:dyDescent="0.25">
      <c r="A46" s="17" t="s">
        <v>51</v>
      </c>
      <c r="C46" s="105">
        <f t="shared" ref="C46:I46" si="4">C8</f>
        <v>-100000</v>
      </c>
      <c r="D46" s="105"/>
      <c r="E46" s="105"/>
      <c r="F46" s="105">
        <f t="shared" si="4"/>
        <v>4000</v>
      </c>
      <c r="G46" s="105"/>
      <c r="H46" s="105"/>
      <c r="I46" s="105">
        <f t="shared" si="4"/>
        <v>104000</v>
      </c>
      <c r="K46" s="365"/>
      <c r="L46" s="43"/>
      <c r="M46" s="43"/>
      <c r="N46" s="43"/>
      <c r="O46" s="45"/>
    </row>
    <row r="47" spans="1:18" x14ac:dyDescent="0.25">
      <c r="A47" s="46" t="s">
        <v>52</v>
      </c>
      <c r="C47" s="106">
        <f t="shared" ref="C47:I47" si="5">C9</f>
        <v>200000</v>
      </c>
      <c r="D47" s="105"/>
      <c r="E47" s="105"/>
      <c r="F47" s="106">
        <f t="shared" si="5"/>
        <v>-204000</v>
      </c>
      <c r="G47" s="105"/>
      <c r="H47" s="105"/>
      <c r="I47" s="106">
        <f t="shared" si="5"/>
        <v>0</v>
      </c>
      <c r="K47" s="47"/>
      <c r="L47" s="43"/>
      <c r="M47" s="43"/>
      <c r="N47" s="43"/>
      <c r="O47" s="45"/>
    </row>
    <row r="48" spans="1:18" x14ac:dyDescent="0.25">
      <c r="A48" s="48" t="s">
        <v>26</v>
      </c>
      <c r="B48" s="48"/>
      <c r="C48" s="105">
        <f>SUM(C45:C47)</f>
        <v>0</v>
      </c>
      <c r="D48" s="105"/>
      <c r="E48" s="105"/>
      <c r="F48" s="105">
        <f>SUM(F45:F47)</f>
        <v>-196000</v>
      </c>
      <c r="G48" s="105"/>
      <c r="H48" s="105"/>
      <c r="I48" s="105">
        <f>SUM(I45:I47)</f>
        <v>208000</v>
      </c>
      <c r="K48" s="47"/>
      <c r="L48" s="43"/>
      <c r="M48" s="43">
        <v>1</v>
      </c>
      <c r="N48" s="43">
        <v>2</v>
      </c>
      <c r="O48" s="45"/>
    </row>
    <row r="49" spans="2:15" x14ac:dyDescent="0.25">
      <c r="K49" s="47" t="s">
        <v>43</v>
      </c>
      <c r="L49" s="43" t="s">
        <v>7</v>
      </c>
      <c r="M49" s="44">
        <f>M43</f>
        <v>0.04</v>
      </c>
      <c r="N49" s="44">
        <f>N43</f>
        <v>0.06</v>
      </c>
      <c r="O49" s="45"/>
    </row>
    <row r="50" spans="2:15" x14ac:dyDescent="0.25">
      <c r="K50" s="47"/>
      <c r="L50" s="43"/>
      <c r="M50" s="43">
        <v>1</v>
      </c>
      <c r="N50" s="43">
        <v>2</v>
      </c>
      <c r="O50" s="45"/>
    </row>
    <row r="51" spans="2:15" x14ac:dyDescent="0.25">
      <c r="E51" s="50" t="s">
        <v>53</v>
      </c>
      <c r="F51" s="51">
        <f>F45+F46</f>
        <v>8000</v>
      </c>
      <c r="H51" s="50" t="s">
        <v>53</v>
      </c>
      <c r="I51" s="51">
        <f>I45+I46+C45+C46</f>
        <v>8000</v>
      </c>
      <c r="K51" s="47"/>
      <c r="L51" s="43" t="s">
        <v>11</v>
      </c>
      <c r="M51" s="44">
        <f>M43+M44</f>
        <v>7.0000000000000007E-2</v>
      </c>
      <c r="N51" s="44">
        <f>N43+N44</f>
        <v>0.11</v>
      </c>
      <c r="O51" s="45"/>
    </row>
    <row r="52" spans="2:15" x14ac:dyDescent="0.25">
      <c r="E52" s="54" t="s">
        <v>116</v>
      </c>
      <c r="F52" s="55">
        <f>F47+C47</f>
        <v>-4000</v>
      </c>
      <c r="G52" s="46"/>
      <c r="H52" s="54" t="s">
        <v>116</v>
      </c>
      <c r="I52" s="57">
        <f>(M56*1/N56-1)*-C47</f>
        <v>-16326.530612244871</v>
      </c>
      <c r="K52" s="47"/>
      <c r="L52" s="43"/>
      <c r="M52" s="43">
        <v>1</v>
      </c>
      <c r="N52" s="43">
        <v>2</v>
      </c>
      <c r="O52" s="45"/>
    </row>
    <row r="53" spans="2:15" x14ac:dyDescent="0.25">
      <c r="E53" s="58" t="s">
        <v>54</v>
      </c>
      <c r="F53" s="107">
        <f>F51+F52</f>
        <v>4000</v>
      </c>
      <c r="G53" s="63"/>
      <c r="H53" s="80" t="s">
        <v>54</v>
      </c>
      <c r="I53" s="61">
        <f>I51+I52</f>
        <v>-8326.530612244871</v>
      </c>
      <c r="K53" s="47"/>
      <c r="L53" s="43" t="s">
        <v>12</v>
      </c>
      <c r="M53" s="44">
        <f>M43+M45</f>
        <v>4.2500000000000003E-2</v>
      </c>
      <c r="N53" s="44">
        <f>N43+N45</f>
        <v>6.5000000000000002E-2</v>
      </c>
      <c r="O53" s="45"/>
    </row>
    <row r="54" spans="2:15" x14ac:dyDescent="0.25">
      <c r="C54" s="62">
        <f>F45*M56+I45*N56</f>
        <v>96298.984034833091</v>
      </c>
      <c r="D54" s="81">
        <f>C54-C16</f>
        <v>-3701.0159651669092</v>
      </c>
      <c r="K54" s="47"/>
      <c r="L54" s="43"/>
      <c r="M54" s="43"/>
      <c r="N54" s="43"/>
      <c r="O54" s="45"/>
    </row>
    <row r="55" spans="2:15" x14ac:dyDescent="0.25">
      <c r="C55" s="62">
        <f>F46*M56+I46*N56</f>
        <v>96298.984034833091</v>
      </c>
      <c r="D55" s="81">
        <f>C55-C17</f>
        <v>-3701.0159651669092</v>
      </c>
      <c r="E55" s="63"/>
      <c r="F55" s="63"/>
      <c r="G55" s="63"/>
      <c r="H55" s="63"/>
      <c r="I55" s="63"/>
      <c r="K55" s="47"/>
      <c r="L55" s="43"/>
      <c r="M55" s="43">
        <v>1</v>
      </c>
      <c r="N55" s="43">
        <v>2</v>
      </c>
      <c r="O55" s="45"/>
    </row>
    <row r="56" spans="2:15" x14ac:dyDescent="0.25">
      <c r="C56" s="64">
        <f>F47*M56</f>
        <v>-196153.84615384613</v>
      </c>
      <c r="D56" s="81">
        <f>C56-C18</f>
        <v>3846.153846153873</v>
      </c>
      <c r="G56" s="364" t="s">
        <v>62</v>
      </c>
      <c r="H56" s="364"/>
      <c r="I56" s="364"/>
      <c r="K56" s="47" t="s">
        <v>42</v>
      </c>
      <c r="L56" s="43" t="s">
        <v>7</v>
      </c>
      <c r="M56" s="43">
        <f>1/(1+M49)</f>
        <v>0.96153846153846145</v>
      </c>
      <c r="N56" s="43">
        <f>(1-N49*SUM($M$56:M56))/(1+N49)</f>
        <v>0.88896952104499272</v>
      </c>
      <c r="O56" s="45"/>
    </row>
    <row r="57" spans="2:15" x14ac:dyDescent="0.25">
      <c r="B57" s="82" t="s">
        <v>21</v>
      </c>
      <c r="C57" s="83">
        <f>SUM(C54:C56)</f>
        <v>-3555.8780841799453</v>
      </c>
      <c r="D57" s="81">
        <f>SUM(D54:D56)</f>
        <v>-3555.8780841799453</v>
      </c>
      <c r="E57" s="51">
        <f>F53*M56+I51*N56 +(C47*M56*1/N56-C47)*N56*-1</f>
        <v>-3555.878084179958</v>
      </c>
      <c r="G57" s="364"/>
      <c r="H57" s="364"/>
      <c r="I57" s="364"/>
      <c r="K57" s="47"/>
      <c r="L57" s="43"/>
      <c r="M57" s="43">
        <v>1</v>
      </c>
      <c r="N57" s="43">
        <v>2</v>
      </c>
      <c r="O57" s="45"/>
    </row>
    <row r="58" spans="2:15" x14ac:dyDescent="0.25">
      <c r="G58" s="364"/>
      <c r="H58" s="364"/>
      <c r="I58" s="364"/>
      <c r="K58" s="47"/>
      <c r="L58" s="43" t="s">
        <v>11</v>
      </c>
      <c r="M58" s="43">
        <f t="shared" ref="M58:M60" si="6">1/(1+M51)</f>
        <v>0.93457943925233644</v>
      </c>
      <c r="N58" s="43">
        <f>(1-N51*SUM($M$58:M58))/(1+N51)</f>
        <v>0.8082849204344531</v>
      </c>
      <c r="O58" s="45"/>
    </row>
    <row r="59" spans="2:15" x14ac:dyDescent="0.25">
      <c r="B59" s="50" t="s">
        <v>64</v>
      </c>
      <c r="C59" s="66">
        <v>1</v>
      </c>
      <c r="D59" s="66">
        <v>2</v>
      </c>
      <c r="K59" s="47"/>
      <c r="L59" s="43"/>
      <c r="M59" s="43">
        <v>1</v>
      </c>
      <c r="N59" s="43">
        <v>2</v>
      </c>
      <c r="O59" s="45"/>
    </row>
    <row r="60" spans="2:15" ht="14.4" thickBot="1" x14ac:dyDescent="0.3">
      <c r="B60" s="50" t="s">
        <v>26</v>
      </c>
      <c r="C60" s="68">
        <v>19.207988960522925</v>
      </c>
      <c r="D60" s="68">
        <v>-36.308429429045646</v>
      </c>
      <c r="E60" s="67"/>
      <c r="K60" s="69"/>
      <c r="L60" s="70" t="s">
        <v>12</v>
      </c>
      <c r="M60" s="70">
        <f t="shared" si="6"/>
        <v>0.95923261390887293</v>
      </c>
      <c r="N60" s="70">
        <f>(1-N53*SUM($M$60:M60))/(1+N53)</f>
        <v>0.88042242262528003</v>
      </c>
      <c r="O60" s="71"/>
    </row>
    <row r="61" spans="2:15" x14ac:dyDescent="0.25">
      <c r="B61" s="50"/>
      <c r="C61" s="68"/>
      <c r="D61" s="68"/>
      <c r="K61" s="43"/>
      <c r="L61" s="43"/>
      <c r="M61" s="43"/>
      <c r="N61" s="43"/>
      <c r="O61" s="43"/>
    </row>
    <row r="63" spans="2:15" x14ac:dyDescent="0.25">
      <c r="B63" s="72" t="s">
        <v>56</v>
      </c>
      <c r="F63" s="46" t="s">
        <v>60</v>
      </c>
      <c r="I63" s="73" t="s">
        <v>61</v>
      </c>
    </row>
    <row r="64" spans="2:15" x14ac:dyDescent="0.25">
      <c r="B64" s="74" t="s">
        <v>58</v>
      </c>
      <c r="E64" s="50" t="s">
        <v>91</v>
      </c>
      <c r="F64" s="51">
        <f>F4</f>
        <v>0</v>
      </c>
      <c r="I64" s="51">
        <f>I4</f>
        <v>0</v>
      </c>
      <c r="J64" s="51"/>
    </row>
    <row r="65" spans="1:10" x14ac:dyDescent="0.25">
      <c r="B65" s="74"/>
      <c r="E65" s="50" t="s">
        <v>92</v>
      </c>
      <c r="F65" s="55">
        <f>SUM(F51:F52)</f>
        <v>4000</v>
      </c>
      <c r="I65" s="55">
        <f>I53</f>
        <v>-8326.530612244871</v>
      </c>
      <c r="J65" s="51"/>
    </row>
    <row r="66" spans="1:10" x14ac:dyDescent="0.25">
      <c r="B66" s="17" t="s">
        <v>24</v>
      </c>
      <c r="E66" s="50" t="s">
        <v>93</v>
      </c>
      <c r="F66" s="51">
        <f>SUM(F64:F65)</f>
        <v>4000</v>
      </c>
      <c r="G66" s="51"/>
      <c r="H66" s="51"/>
      <c r="I66" s="51">
        <f>SUM(I64:I65)</f>
        <v>-8326.530612244871</v>
      </c>
      <c r="J66" s="51"/>
    </row>
    <row r="68" spans="1:10" x14ac:dyDescent="0.25">
      <c r="B68" s="50" t="s">
        <v>73</v>
      </c>
      <c r="E68" s="50" t="s">
        <v>51</v>
      </c>
      <c r="F68" s="51">
        <f>'Ertragswertkalkül mit Marge'!F113/2</f>
        <v>0</v>
      </c>
      <c r="G68" s="51"/>
      <c r="H68" s="51"/>
      <c r="I68" s="51">
        <f>'Ertragswertkalkül mit Marge'!I113/2</f>
        <v>0</v>
      </c>
    </row>
    <row r="69" spans="1:10" x14ac:dyDescent="0.25">
      <c r="B69" s="75" t="s">
        <v>72</v>
      </c>
      <c r="D69" s="207"/>
      <c r="E69" s="50" t="s">
        <v>51</v>
      </c>
      <c r="F69" s="51">
        <f>'Ertragswertkalkül mit Marge'!F113/2</f>
        <v>0</v>
      </c>
      <c r="G69" s="51"/>
      <c r="H69" s="51"/>
      <c r="I69" s="51">
        <f>'Ertragswertkalkül mit Marge'!I113/2</f>
        <v>0</v>
      </c>
    </row>
    <row r="70" spans="1:10" x14ac:dyDescent="0.25">
      <c r="B70" s="75" t="s">
        <v>65</v>
      </c>
      <c r="D70" s="207"/>
      <c r="E70" s="50" t="s">
        <v>52</v>
      </c>
      <c r="F70" s="55">
        <f>'Ertragswertkalkül mit Marge'!F120</f>
        <v>0</v>
      </c>
      <c r="I70" s="101">
        <f>F70</f>
        <v>0</v>
      </c>
    </row>
    <row r="71" spans="1:10" x14ac:dyDescent="0.25">
      <c r="B71" s="50"/>
      <c r="E71" s="50" t="s">
        <v>91</v>
      </c>
      <c r="F71" s="51">
        <f>SUM(F68:F70)</f>
        <v>0</v>
      </c>
      <c r="G71" s="51"/>
      <c r="H71" s="51"/>
      <c r="I71" s="78">
        <f>SUM(I68:I70)</f>
        <v>0</v>
      </c>
    </row>
    <row r="72" spans="1:10" x14ac:dyDescent="0.25">
      <c r="B72" s="50"/>
      <c r="E72" s="50" t="s">
        <v>51</v>
      </c>
      <c r="F72" s="51">
        <f>F45</f>
        <v>4000</v>
      </c>
      <c r="G72" s="51"/>
      <c r="H72" s="51"/>
      <c r="I72" s="51">
        <f>I46+C46</f>
        <v>4000</v>
      </c>
    </row>
    <row r="73" spans="1:10" x14ac:dyDescent="0.25">
      <c r="B73" s="50"/>
      <c r="E73" s="50" t="s">
        <v>51</v>
      </c>
      <c r="F73" s="51">
        <f>F46</f>
        <v>4000</v>
      </c>
      <c r="G73" s="51"/>
      <c r="H73" s="51"/>
      <c r="I73" s="51">
        <f>F46</f>
        <v>4000</v>
      </c>
    </row>
    <row r="74" spans="1:10" x14ac:dyDescent="0.25">
      <c r="B74" s="50"/>
      <c r="E74" s="50" t="s">
        <v>52</v>
      </c>
      <c r="F74" s="55">
        <f>F47+C47</f>
        <v>-4000</v>
      </c>
      <c r="G74" s="51"/>
      <c r="H74" s="51"/>
      <c r="I74" s="77">
        <f>-C47*M49</f>
        <v>-8000</v>
      </c>
    </row>
    <row r="75" spans="1:10" ht="14.4" thickBot="1" x14ac:dyDescent="0.3">
      <c r="B75" s="50"/>
      <c r="E75" s="102" t="s">
        <v>92</v>
      </c>
      <c r="F75" s="103">
        <f>SUM(F72:F74)</f>
        <v>4000</v>
      </c>
      <c r="G75" s="51"/>
      <c r="H75" s="51"/>
      <c r="I75" s="104">
        <f>SUM(I72:I74)</f>
        <v>0</v>
      </c>
    </row>
    <row r="76" spans="1:10" ht="16.2" thickTop="1" x14ac:dyDescent="0.3">
      <c r="B76" s="17" t="s">
        <v>24</v>
      </c>
      <c r="E76" s="7" t="s">
        <v>95</v>
      </c>
      <c r="F76" s="51">
        <f>F75+F71</f>
        <v>4000</v>
      </c>
      <c r="I76" s="51">
        <f>I75+I71</f>
        <v>0</v>
      </c>
    </row>
    <row r="78" spans="1:10" x14ac:dyDescent="0.25">
      <c r="B78" s="75"/>
    </row>
    <row r="79" spans="1:10" s="87" customFormat="1" x14ac:dyDescent="0.25">
      <c r="A79" s="86" t="s">
        <v>76</v>
      </c>
    </row>
    <row r="81" spans="1:15" x14ac:dyDescent="0.25">
      <c r="B81" s="17" t="s">
        <v>66</v>
      </c>
    </row>
    <row r="82" spans="1:15" x14ac:dyDescent="0.25">
      <c r="E82" s="88" t="s">
        <v>96</v>
      </c>
    </row>
    <row r="83" spans="1:15" x14ac:dyDescent="0.25">
      <c r="B83" s="17" t="s">
        <v>67</v>
      </c>
      <c r="C83" s="89">
        <f>D57</f>
        <v>-3555.8780841799453</v>
      </c>
      <c r="E83" s="17" t="s">
        <v>25</v>
      </c>
      <c r="F83" s="85">
        <f>F65-F53</f>
        <v>0</v>
      </c>
      <c r="I83" s="84">
        <f>I66-I28</f>
        <v>-4081.6326530612278</v>
      </c>
    </row>
    <row r="85" spans="1:15" x14ac:dyDescent="0.25">
      <c r="E85" s="90" t="s">
        <v>73</v>
      </c>
    </row>
    <row r="86" spans="1:15" x14ac:dyDescent="0.25">
      <c r="E86" s="17" t="s">
        <v>25</v>
      </c>
      <c r="F86" s="85">
        <f>F76-F38</f>
        <v>0</v>
      </c>
      <c r="I86" s="91">
        <f>I76-I38</f>
        <v>-4000</v>
      </c>
    </row>
    <row r="87" spans="1:15" x14ac:dyDescent="0.25">
      <c r="E87" s="75" t="s">
        <v>72</v>
      </c>
    </row>
    <row r="88" spans="1:15" x14ac:dyDescent="0.25">
      <c r="E88" s="75" t="s">
        <v>65</v>
      </c>
    </row>
    <row r="90" spans="1:15" s="93" customFormat="1" x14ac:dyDescent="0.25">
      <c r="A90" s="92" t="s">
        <v>77</v>
      </c>
    </row>
    <row r="91" spans="1:15" ht="14.4" thickBot="1" x14ac:dyDescent="0.3"/>
    <row r="92" spans="1:15" x14ac:dyDescent="0.25">
      <c r="K92" s="39"/>
      <c r="L92" s="40" t="s">
        <v>44</v>
      </c>
      <c r="M92" s="41">
        <v>1</v>
      </c>
      <c r="N92" s="41">
        <v>2</v>
      </c>
      <c r="O92" s="42"/>
    </row>
    <row r="93" spans="1:15" x14ac:dyDescent="0.25">
      <c r="A93" s="17" t="s">
        <v>0</v>
      </c>
      <c r="B93" s="17" t="s">
        <v>13</v>
      </c>
      <c r="C93" s="208" t="s">
        <v>2</v>
      </c>
      <c r="D93" s="208"/>
      <c r="E93" s="208"/>
      <c r="F93" s="208" t="s">
        <v>3</v>
      </c>
      <c r="G93" s="208"/>
      <c r="H93" s="208"/>
      <c r="I93" s="208" t="s">
        <v>4</v>
      </c>
      <c r="K93" s="365" t="s">
        <v>2</v>
      </c>
      <c r="L93" s="43" t="s">
        <v>49</v>
      </c>
      <c r="M93" s="44">
        <f t="shared" ref="M93:N95" si="7">M5</f>
        <v>0.02</v>
      </c>
      <c r="N93" s="44">
        <f t="shared" si="7"/>
        <v>0.04</v>
      </c>
      <c r="O93" s="45"/>
    </row>
    <row r="94" spans="1:15" x14ac:dyDescent="0.25">
      <c r="A94" s="17" t="s">
        <v>51</v>
      </c>
      <c r="C94" s="51">
        <f>C7</f>
        <v>-100000</v>
      </c>
      <c r="D94" s="51"/>
      <c r="E94" s="51"/>
      <c r="F94" s="51">
        <f>F7</f>
        <v>4000</v>
      </c>
      <c r="G94" s="51"/>
      <c r="H94" s="51"/>
      <c r="I94" s="51">
        <f>I7</f>
        <v>104000</v>
      </c>
      <c r="K94" s="365"/>
      <c r="L94" s="43" t="s">
        <v>45</v>
      </c>
      <c r="M94" s="44">
        <f t="shared" si="7"/>
        <v>0.03</v>
      </c>
      <c r="N94" s="44">
        <f t="shared" si="7"/>
        <v>0.05</v>
      </c>
      <c r="O94" s="45"/>
    </row>
    <row r="95" spans="1:15" x14ac:dyDescent="0.25">
      <c r="A95" s="17" t="s">
        <v>51</v>
      </c>
      <c r="C95" s="51">
        <f>C8</f>
        <v>-100000</v>
      </c>
      <c r="D95" s="51"/>
      <c r="E95" s="51"/>
      <c r="F95" s="51">
        <f>F8</f>
        <v>4000</v>
      </c>
      <c r="G95" s="51"/>
      <c r="H95" s="51"/>
      <c r="I95" s="51">
        <f>I8</f>
        <v>104000</v>
      </c>
      <c r="K95" s="365"/>
      <c r="L95" s="43" t="s">
        <v>46</v>
      </c>
      <c r="M95" s="44">
        <f t="shared" si="7"/>
        <v>2.5000000000000001E-3</v>
      </c>
      <c r="N95" s="44">
        <f t="shared" si="7"/>
        <v>5.0000000000000001E-3</v>
      </c>
      <c r="O95" s="45"/>
    </row>
    <row r="96" spans="1:15" x14ac:dyDescent="0.25">
      <c r="A96" s="46" t="s">
        <v>52</v>
      </c>
      <c r="C96" s="55">
        <f>C9</f>
        <v>200000</v>
      </c>
      <c r="D96" s="51"/>
      <c r="E96" s="51"/>
      <c r="F96" s="55">
        <f>F9</f>
        <v>-204000</v>
      </c>
      <c r="G96" s="51"/>
      <c r="H96" s="51"/>
      <c r="I96" s="55">
        <f>I9</f>
        <v>0</v>
      </c>
      <c r="K96" s="365"/>
      <c r="L96" s="43"/>
      <c r="M96" s="43"/>
      <c r="N96" s="43"/>
      <c r="O96" s="45"/>
    </row>
    <row r="97" spans="1:15" x14ac:dyDescent="0.25">
      <c r="A97" s="48" t="s">
        <v>26</v>
      </c>
      <c r="B97" s="48"/>
      <c r="C97" s="51"/>
      <c r="D97" s="51"/>
      <c r="E97" s="51"/>
      <c r="F97" s="51"/>
      <c r="G97" s="51"/>
      <c r="H97" s="51"/>
      <c r="I97" s="51"/>
      <c r="K97" s="47"/>
      <c r="L97" s="43"/>
      <c r="M97" s="43"/>
      <c r="N97" s="43"/>
      <c r="O97" s="45"/>
    </row>
    <row r="98" spans="1:15" x14ac:dyDescent="0.25">
      <c r="B98" s="50" t="s">
        <v>97</v>
      </c>
      <c r="C98" s="51"/>
      <c r="D98" s="51"/>
      <c r="E98" s="51"/>
      <c r="F98" s="51">
        <f>F94+F95+F96+C96</f>
        <v>4000</v>
      </c>
      <c r="G98" s="51"/>
      <c r="H98" s="51"/>
      <c r="I98" s="51">
        <f>I94+C94+I95+C95</f>
        <v>8000</v>
      </c>
      <c r="K98" s="47"/>
      <c r="L98" s="43"/>
      <c r="M98" s="43">
        <f t="shared" ref="M98:N103" si="8">M10</f>
        <v>1</v>
      </c>
      <c r="N98" s="43">
        <f t="shared" si="8"/>
        <v>2</v>
      </c>
      <c r="O98" s="45"/>
    </row>
    <row r="99" spans="1:15" x14ac:dyDescent="0.25">
      <c r="B99" s="50" t="s">
        <v>78</v>
      </c>
      <c r="C99" s="55">
        <f>SUM(C94:C96)</f>
        <v>0</v>
      </c>
      <c r="D99" s="51"/>
      <c r="E99" s="51"/>
      <c r="F99" s="55">
        <f>-C96</f>
        <v>-200000</v>
      </c>
      <c r="G99" s="51"/>
      <c r="H99" s="51"/>
      <c r="I99" s="55">
        <f>-C94+-C95</f>
        <v>200000</v>
      </c>
      <c r="K99" s="47" t="s">
        <v>43</v>
      </c>
      <c r="L99" s="43" t="s">
        <v>7</v>
      </c>
      <c r="M99" s="44">
        <f t="shared" si="8"/>
        <v>0.02</v>
      </c>
      <c r="N99" s="44">
        <f t="shared" si="8"/>
        <v>0.04</v>
      </c>
      <c r="O99" s="45"/>
    </row>
    <row r="100" spans="1:15" x14ac:dyDescent="0.25">
      <c r="B100" s="95" t="s">
        <v>79</v>
      </c>
      <c r="C100" s="96">
        <f>SUM(C98:C99)</f>
        <v>0</v>
      </c>
      <c r="D100" s="96"/>
      <c r="E100" s="96"/>
      <c r="F100" s="96">
        <f>SUM(F98:F99)</f>
        <v>-196000</v>
      </c>
      <c r="G100" s="96"/>
      <c r="H100" s="96"/>
      <c r="I100" s="96">
        <f>SUM(I98:I99)</f>
        <v>208000</v>
      </c>
      <c r="K100" s="47"/>
      <c r="L100" s="43"/>
      <c r="M100" s="43">
        <f t="shared" si="8"/>
        <v>1</v>
      </c>
      <c r="N100" s="43">
        <f t="shared" si="8"/>
        <v>2</v>
      </c>
      <c r="O100" s="45"/>
    </row>
    <row r="101" spans="1:15" x14ac:dyDescent="0.25">
      <c r="K101" s="47"/>
      <c r="L101" s="43" t="s">
        <v>11</v>
      </c>
      <c r="M101" s="44">
        <f t="shared" si="8"/>
        <v>0.05</v>
      </c>
      <c r="N101" s="44">
        <f t="shared" si="8"/>
        <v>0.09</v>
      </c>
      <c r="O101" s="45"/>
    </row>
    <row r="102" spans="1:15" x14ac:dyDescent="0.25">
      <c r="A102" s="17" t="s">
        <v>362</v>
      </c>
      <c r="K102" s="47"/>
      <c r="L102" s="43"/>
      <c r="M102" s="43">
        <f t="shared" si="8"/>
        <v>1</v>
      </c>
      <c r="N102" s="43">
        <f t="shared" si="8"/>
        <v>2</v>
      </c>
      <c r="O102" s="45"/>
    </row>
    <row r="103" spans="1:15" x14ac:dyDescent="0.25">
      <c r="A103" s="90" t="s">
        <v>333</v>
      </c>
      <c r="B103" s="50"/>
      <c r="C103" s="51">
        <f>I100/(1+N99)</f>
        <v>200000</v>
      </c>
      <c r="D103" s="51"/>
      <c r="E103" s="51"/>
      <c r="F103" s="51">
        <f>-C103*N99</f>
        <v>-8000</v>
      </c>
      <c r="G103" s="51"/>
      <c r="H103" s="51"/>
      <c r="I103" s="51">
        <f>-C103*(1+N99)</f>
        <v>-208000</v>
      </c>
      <c r="K103" s="47"/>
      <c r="L103" s="43" t="s">
        <v>12</v>
      </c>
      <c r="M103" s="44">
        <f t="shared" si="8"/>
        <v>2.2499999999999999E-2</v>
      </c>
      <c r="N103" s="44">
        <f t="shared" si="8"/>
        <v>4.4999999999999998E-2</v>
      </c>
      <c r="O103" s="45"/>
    </row>
    <row r="104" spans="1:15" x14ac:dyDescent="0.25">
      <c r="A104" s="90" t="s">
        <v>334</v>
      </c>
      <c r="C104" s="51">
        <f>-C103</f>
        <v>-200000</v>
      </c>
      <c r="D104" s="17" t="str">
        <f>TEXT(-ROUND(C104,2),"#.##0,00")&amp;" *floatingRate"</f>
        <v>200.000,00 *floatingRate</v>
      </c>
      <c r="K104" s="47"/>
      <c r="L104" s="43"/>
      <c r="M104" s="43"/>
      <c r="N104" s="43"/>
      <c r="O104" s="45"/>
    </row>
    <row r="105" spans="1:15" x14ac:dyDescent="0.25">
      <c r="A105" s="90" t="s">
        <v>335</v>
      </c>
      <c r="B105" s="50"/>
      <c r="C105" s="51">
        <f>(F100+F103)/(1+M99)</f>
        <v>-200000</v>
      </c>
      <c r="E105" s="51"/>
      <c r="F105" s="51">
        <f>-C105*(1+M99)</f>
        <v>204000</v>
      </c>
      <c r="G105" s="51"/>
      <c r="H105" s="51"/>
      <c r="I105" s="51"/>
      <c r="K105" s="47"/>
      <c r="L105" s="43"/>
      <c r="M105" s="43">
        <f t="shared" ref="M105:N110" si="9">M17</f>
        <v>1</v>
      </c>
      <c r="N105" s="43">
        <f t="shared" si="9"/>
        <v>2</v>
      </c>
      <c r="O105" s="45"/>
    </row>
    <row r="106" spans="1:15" ht="14.4" thickBot="1" x14ac:dyDescent="0.3">
      <c r="A106" s="90" t="s">
        <v>336</v>
      </c>
      <c r="C106" s="308">
        <f>-C105</f>
        <v>200000</v>
      </c>
      <c r="D106" s="97" t="str">
        <f>TEXT(-ROUND(C106,2),"#.##0,00")&amp;" *floatingRate"</f>
        <v>-200.000,00 *floatingRate</v>
      </c>
      <c r="F106" s="97"/>
      <c r="I106" s="97"/>
      <c r="K106" s="47" t="s">
        <v>42</v>
      </c>
      <c r="L106" s="43" t="s">
        <v>7</v>
      </c>
      <c r="M106" s="43">
        <f t="shared" si="9"/>
        <v>0.98039215686274506</v>
      </c>
      <c r="N106" s="43">
        <f t="shared" si="9"/>
        <v>0.92383107088989447</v>
      </c>
      <c r="O106" s="45"/>
    </row>
    <row r="107" spans="1:15" ht="15" thickTop="1" thickBot="1" x14ac:dyDescent="0.3">
      <c r="B107" s="50" t="s">
        <v>337</v>
      </c>
      <c r="C107" s="51">
        <f>SUM(C100:C106)</f>
        <v>0</v>
      </c>
      <c r="D107" s="97" t="str">
        <f>TEXT(-ROUND(C104+C106,2),"#.##0,00")&amp;" *floatingRate"</f>
        <v>0,00 *floatingRate</v>
      </c>
      <c r="E107" s="51"/>
      <c r="F107" s="51">
        <f>SUM(F100:F105)</f>
        <v>0</v>
      </c>
      <c r="G107" s="51"/>
      <c r="H107" s="51"/>
      <c r="I107" s="51">
        <f>SUM(I100:I105)</f>
        <v>0</v>
      </c>
      <c r="K107" s="47"/>
      <c r="L107" s="43"/>
      <c r="M107" s="43">
        <f t="shared" si="9"/>
        <v>1</v>
      </c>
      <c r="N107" s="43">
        <f t="shared" si="9"/>
        <v>2</v>
      </c>
      <c r="O107" s="45"/>
    </row>
    <row r="108" spans="1:15" ht="14.4" thickTop="1" x14ac:dyDescent="0.25">
      <c r="K108" s="47"/>
      <c r="L108" s="43" t="s">
        <v>11</v>
      </c>
      <c r="M108" s="43">
        <f t="shared" si="9"/>
        <v>0.95238095238095233</v>
      </c>
      <c r="N108" s="43">
        <f t="shared" si="9"/>
        <v>0.83879423328964609</v>
      </c>
      <c r="O108" s="45"/>
    </row>
    <row r="109" spans="1:15" x14ac:dyDescent="0.25">
      <c r="B109" s="50"/>
      <c r="C109" s="367" t="s">
        <v>338</v>
      </c>
      <c r="D109" s="367"/>
      <c r="F109" s="17" t="s">
        <v>3</v>
      </c>
      <c r="I109" s="17" t="s">
        <v>4</v>
      </c>
      <c r="K109" s="47"/>
      <c r="L109" s="43"/>
      <c r="M109" s="43">
        <f t="shared" si="9"/>
        <v>1</v>
      </c>
      <c r="N109" s="43">
        <f t="shared" si="9"/>
        <v>2</v>
      </c>
      <c r="O109" s="45"/>
    </row>
    <row r="110" spans="1:15" ht="14.4" thickBot="1" x14ac:dyDescent="0.3">
      <c r="A110" s="17" t="s">
        <v>339</v>
      </c>
      <c r="C110" s="308">
        <f>C107</f>
        <v>0</v>
      </c>
      <c r="D110" s="97" t="str">
        <f>D112</f>
        <v>0,00 *floatingRate</v>
      </c>
      <c r="F110" s="308">
        <f>SUM(F111:F112)</f>
        <v>0</v>
      </c>
      <c r="I110" s="308">
        <f>SUM(I111:I112)</f>
        <v>0</v>
      </c>
      <c r="K110" s="69"/>
      <c r="L110" s="70" t="s">
        <v>12</v>
      </c>
      <c r="M110" s="70">
        <f t="shared" si="9"/>
        <v>0.97799511002444994</v>
      </c>
      <c r="N110" s="70">
        <f t="shared" si="9"/>
        <v>0.91482317708028693</v>
      </c>
      <c r="O110" s="71"/>
    </row>
    <row r="111" spans="1:15" ht="14.4" thickTop="1" x14ac:dyDescent="0.25">
      <c r="B111" s="17" t="s">
        <v>340</v>
      </c>
      <c r="C111" s="51">
        <f>C103+C105</f>
        <v>0</v>
      </c>
      <c r="E111" s="51"/>
      <c r="F111" s="51">
        <f>SUM(F100:F106)</f>
        <v>0</v>
      </c>
      <c r="G111" s="51"/>
      <c r="H111" s="51"/>
      <c r="I111" s="51">
        <f>SUM(I100:I106)</f>
        <v>0</v>
      </c>
    </row>
    <row r="112" spans="1:15" x14ac:dyDescent="0.25">
      <c r="B112" s="17" t="s">
        <v>341</v>
      </c>
      <c r="C112" s="51">
        <f>C104+C106</f>
        <v>0</v>
      </c>
      <c r="D112" s="17" t="str">
        <f>TEXT(-ROUND(C112,2),"#.##0,00")&amp;" *floatingRate"</f>
        <v>0,00 *floatingRate</v>
      </c>
    </row>
    <row r="113" spans="2:9" x14ac:dyDescent="0.25">
      <c r="B113" s="50"/>
      <c r="C113" s="51"/>
      <c r="D113" s="51"/>
      <c r="E113" s="51"/>
      <c r="F113" s="51"/>
      <c r="G113" s="51"/>
      <c r="H113" s="51"/>
      <c r="I113" s="51"/>
    </row>
    <row r="114" spans="2:9" x14ac:dyDescent="0.25">
      <c r="B114" s="50" t="s">
        <v>342</v>
      </c>
      <c r="C114" s="98">
        <v>0</v>
      </c>
      <c r="D114" s="51"/>
      <c r="E114" s="51"/>
      <c r="F114" s="55">
        <f>F4</f>
        <v>0</v>
      </c>
      <c r="G114" s="51"/>
      <c r="H114" s="51"/>
      <c r="I114" s="55">
        <f>I4</f>
        <v>0</v>
      </c>
    </row>
    <row r="115" spans="2:9" x14ac:dyDescent="0.25">
      <c r="B115" s="50" t="s">
        <v>343</v>
      </c>
      <c r="C115" s="51" t="str">
        <f>TEXT(-ROUND(C112,2),"#.##0,00")&amp;" *floatingRate"</f>
        <v>0,00 *floatingRate</v>
      </c>
    </row>
    <row r="116" spans="2:9" x14ac:dyDescent="0.25">
      <c r="F116" s="51"/>
    </row>
    <row r="117" spans="2:9" x14ac:dyDescent="0.25">
      <c r="B117" s="17" t="s">
        <v>81</v>
      </c>
    </row>
    <row r="118" spans="2:9" x14ac:dyDescent="0.25">
      <c r="B118" s="50" t="s">
        <v>83</v>
      </c>
      <c r="F118" s="51">
        <f>-SUM(C94:C95)*(0.09-0.04)</f>
        <v>10000</v>
      </c>
      <c r="G118" s="51"/>
      <c r="H118" s="51"/>
      <c r="I118" s="51">
        <f>-SUM(C94:C95)*(0.09-0.04)</f>
        <v>10000</v>
      </c>
    </row>
    <row r="119" spans="2:9" x14ac:dyDescent="0.25">
      <c r="B119" s="50" t="s">
        <v>84</v>
      </c>
      <c r="F119" s="51">
        <f>-SUM(C94:C95)*(0.04)</f>
        <v>8000</v>
      </c>
      <c r="G119" s="51"/>
      <c r="H119" s="51"/>
      <c r="I119" s="51">
        <f>-SUM(C94:C95)*(0.04)</f>
        <v>8000</v>
      </c>
    </row>
    <row r="120" spans="2:9" x14ac:dyDescent="0.25">
      <c r="B120" s="17" t="s">
        <v>184</v>
      </c>
      <c r="F120" s="51"/>
      <c r="G120" s="51"/>
      <c r="H120" s="51"/>
      <c r="I120" s="51"/>
    </row>
    <row r="121" spans="2:9" x14ac:dyDescent="0.25">
      <c r="B121" s="50" t="s">
        <v>80</v>
      </c>
      <c r="F121" s="51"/>
      <c r="G121" s="51"/>
      <c r="H121" s="51"/>
      <c r="I121" s="51"/>
    </row>
    <row r="122" spans="2:9" x14ac:dyDescent="0.25">
      <c r="B122" s="50" t="s">
        <v>84</v>
      </c>
      <c r="F122" s="51">
        <f>F103</f>
        <v>-8000</v>
      </c>
      <c r="G122" s="51"/>
      <c r="H122" s="51"/>
      <c r="I122" s="51">
        <f>F103</f>
        <v>-8000</v>
      </c>
    </row>
    <row r="123" spans="2:9" x14ac:dyDescent="0.25">
      <c r="F123" s="51"/>
      <c r="G123" s="51"/>
      <c r="H123" s="51"/>
      <c r="I123" s="51"/>
    </row>
    <row r="124" spans="2:9" x14ac:dyDescent="0.25">
      <c r="B124" s="17" t="s">
        <v>81</v>
      </c>
      <c r="F124" s="51"/>
      <c r="G124" s="51"/>
      <c r="H124" s="51"/>
      <c r="I124" s="51"/>
    </row>
    <row r="125" spans="2:9" x14ac:dyDescent="0.25">
      <c r="B125" s="50" t="s">
        <v>85</v>
      </c>
      <c r="F125" s="51">
        <f>-C96*(M103-M99)</f>
        <v>-499.99999999999977</v>
      </c>
      <c r="G125" s="51"/>
      <c r="H125" s="51"/>
      <c r="I125" s="51">
        <f>-SUM(I96)*(0.09-0.04)</f>
        <v>0</v>
      </c>
    </row>
    <row r="126" spans="2:9" x14ac:dyDescent="0.25">
      <c r="B126" s="50" t="s">
        <v>86</v>
      </c>
      <c r="F126" s="51">
        <f>-C96*(M99)</f>
        <v>-4000</v>
      </c>
      <c r="G126" s="51"/>
      <c r="H126" s="51"/>
      <c r="I126" s="51">
        <f>-SUM(I96)*(0.04)</f>
        <v>0</v>
      </c>
    </row>
    <row r="127" spans="2:9" x14ac:dyDescent="0.25">
      <c r="B127" s="17" t="s">
        <v>344</v>
      </c>
      <c r="F127" s="51"/>
      <c r="G127" s="51"/>
      <c r="H127" s="51"/>
      <c r="I127" s="51"/>
    </row>
    <row r="128" spans="2:9" x14ac:dyDescent="0.25">
      <c r="B128" s="50" t="s">
        <v>80</v>
      </c>
      <c r="F128" s="51"/>
      <c r="G128" s="51"/>
      <c r="H128" s="51"/>
      <c r="I128" s="51"/>
    </row>
    <row r="129" spans="1:9" x14ac:dyDescent="0.25">
      <c r="B129" s="50" t="s">
        <v>86</v>
      </c>
      <c r="F129" s="51">
        <f>F105+C105</f>
        <v>4000</v>
      </c>
      <c r="G129" s="51"/>
      <c r="H129" s="51"/>
      <c r="I129" s="51">
        <f>I105</f>
        <v>0</v>
      </c>
    </row>
    <row r="130" spans="1:9" x14ac:dyDescent="0.25">
      <c r="F130" s="51"/>
      <c r="G130" s="51"/>
      <c r="H130" s="51"/>
      <c r="I130" s="51"/>
    </row>
    <row r="131" spans="1:9" x14ac:dyDescent="0.25">
      <c r="B131" s="99" t="s">
        <v>87</v>
      </c>
      <c r="C131" s="43"/>
      <c r="D131" s="43"/>
      <c r="E131" s="43"/>
      <c r="F131" s="100">
        <f>F118+F125</f>
        <v>9500</v>
      </c>
      <c r="G131" s="100"/>
      <c r="H131" s="100"/>
      <c r="I131" s="100">
        <f t="shared" ref="I131" si="10">I118+I125</f>
        <v>10000</v>
      </c>
    </row>
    <row r="132" spans="1:9" x14ac:dyDescent="0.25">
      <c r="B132" s="54" t="s">
        <v>88</v>
      </c>
      <c r="C132" s="46"/>
      <c r="D132" s="46"/>
      <c r="E132" s="46"/>
      <c r="F132" s="55">
        <f>F119+F122+F126+F129</f>
        <v>0</v>
      </c>
      <c r="G132" s="55"/>
      <c r="H132" s="55"/>
      <c r="I132" s="55">
        <f t="shared" ref="I132" si="11">I119+I122+I126+I129</f>
        <v>0</v>
      </c>
    </row>
    <row r="133" spans="1:9" x14ac:dyDescent="0.25">
      <c r="B133" s="50" t="s">
        <v>342</v>
      </c>
      <c r="F133" s="51">
        <f>SUM(F131:F132)</f>
        <v>9500</v>
      </c>
      <c r="G133" s="51"/>
      <c r="H133" s="51"/>
      <c r="I133" s="51">
        <f t="shared" ref="I133" si="12">SUM(I131:I132)</f>
        <v>10000</v>
      </c>
    </row>
    <row r="134" spans="1:9" x14ac:dyDescent="0.25">
      <c r="B134" s="17" t="s">
        <v>343</v>
      </c>
      <c r="C134" s="51" t="str">
        <f>TEXT(-ROUND(C112,2),"#.##0,00")&amp;" *floatingRate"</f>
        <v>0,00 *floatingRate</v>
      </c>
    </row>
    <row r="137" spans="1:9" x14ac:dyDescent="0.25">
      <c r="B137" s="189" t="s">
        <v>363</v>
      </c>
      <c r="C137" s="208"/>
      <c r="D137" s="208"/>
      <c r="E137" s="326" t="s">
        <v>347</v>
      </c>
      <c r="F137" s="326" t="s">
        <v>348</v>
      </c>
    </row>
    <row r="138" spans="1:9" x14ac:dyDescent="0.25">
      <c r="B138" s="17" t="s">
        <v>349</v>
      </c>
      <c r="E138" s="51">
        <f>SUM(F68:F69)</f>
        <v>0</v>
      </c>
      <c r="F138" s="51">
        <f>SUM(I68:I69)</f>
        <v>0</v>
      </c>
    </row>
    <row r="139" spans="1:9" x14ac:dyDescent="0.25">
      <c r="B139" s="17" t="s">
        <v>350</v>
      </c>
      <c r="C139" s="55"/>
      <c r="D139" s="55"/>
      <c r="E139" s="55">
        <f>F70</f>
        <v>0</v>
      </c>
      <c r="F139" s="55"/>
    </row>
    <row r="140" spans="1:9" x14ac:dyDescent="0.25">
      <c r="B140" s="35" t="s">
        <v>364</v>
      </c>
      <c r="C140" s="96"/>
      <c r="D140" s="96"/>
      <c r="E140" s="96">
        <f t="shared" ref="E140:F140" si="13">SUM(E138:E139)</f>
        <v>0</v>
      </c>
      <c r="F140" s="96">
        <f t="shared" si="13"/>
        <v>0</v>
      </c>
    </row>
    <row r="141" spans="1:9" x14ac:dyDescent="0.25">
      <c r="A141" s="63"/>
      <c r="B141" s="63"/>
      <c r="C141" s="59"/>
      <c r="D141" s="59"/>
      <c r="E141" s="59"/>
      <c r="F141" s="59"/>
      <c r="G141" s="63"/>
      <c r="H141" s="63"/>
      <c r="I141" s="63"/>
    </row>
    <row r="142" spans="1:9" x14ac:dyDescent="0.25">
      <c r="C142" s="367" t="s">
        <v>338</v>
      </c>
      <c r="D142" s="367"/>
      <c r="E142" s="153"/>
    </row>
    <row r="143" spans="1:9" x14ac:dyDescent="0.25">
      <c r="B143" s="327" t="s">
        <v>365</v>
      </c>
      <c r="C143" s="208" t="s">
        <v>2</v>
      </c>
      <c r="D143" s="208" t="s">
        <v>346</v>
      </c>
      <c r="E143" s="326" t="s">
        <v>347</v>
      </c>
      <c r="F143" s="326" t="s">
        <v>348</v>
      </c>
    </row>
    <row r="144" spans="1:9" x14ac:dyDescent="0.25">
      <c r="B144" s="17" t="s">
        <v>349</v>
      </c>
      <c r="C144" s="51">
        <f>SUM(C7:C8)</f>
        <v>-200000</v>
      </c>
      <c r="D144" s="51"/>
      <c r="E144" s="51">
        <f>SUM(F7:F8)</f>
        <v>8000</v>
      </c>
      <c r="F144" s="51">
        <f>SUM(I7:I8)</f>
        <v>208000</v>
      </c>
    </row>
    <row r="145" spans="2:6" x14ac:dyDescent="0.25">
      <c r="B145" s="17" t="s">
        <v>350</v>
      </c>
      <c r="C145" s="55">
        <f>C9</f>
        <v>200000</v>
      </c>
      <c r="D145" s="55"/>
      <c r="E145" s="55">
        <f>F9</f>
        <v>-204000</v>
      </c>
      <c r="F145" s="51">
        <f>I9</f>
        <v>0</v>
      </c>
    </row>
    <row r="146" spans="2:6" x14ac:dyDescent="0.25">
      <c r="B146" s="35" t="str">
        <f>B100</f>
        <v>Zinsbuch-CF</v>
      </c>
      <c r="C146" s="96">
        <f>SUM(C144:C145)</f>
        <v>0</v>
      </c>
      <c r="D146" s="96"/>
      <c r="E146" s="96">
        <f>SUM(E144:E145)</f>
        <v>-196000</v>
      </c>
      <c r="F146" s="96">
        <f t="shared" ref="F146" si="14">SUM(F144:F145)</f>
        <v>208000</v>
      </c>
    </row>
    <row r="148" spans="2:6" x14ac:dyDescent="0.25">
      <c r="B148" s="17" t="s">
        <v>351</v>
      </c>
    </row>
    <row r="149" spans="2:6" x14ac:dyDescent="0.25">
      <c r="B149" s="17" t="s">
        <v>356</v>
      </c>
      <c r="C149" s="328">
        <f>C19</f>
        <v>0</v>
      </c>
      <c r="D149" s="329"/>
      <c r="E149" s="329"/>
      <c r="F149" s="329"/>
    </row>
    <row r="150" spans="2:6" x14ac:dyDescent="0.25">
      <c r="B150" s="17" t="s">
        <v>353</v>
      </c>
      <c r="C150" s="329"/>
      <c r="D150" s="328"/>
      <c r="E150" s="328">
        <f>C22</f>
        <v>19.605920988164144</v>
      </c>
      <c r="F150" s="328">
        <f>D22</f>
        <v>-38.080802939395653</v>
      </c>
    </row>
    <row r="152" spans="2:6" x14ac:dyDescent="0.25">
      <c r="C152" s="367" t="s">
        <v>338</v>
      </c>
      <c r="D152" s="367"/>
    </row>
    <row r="153" spans="2:6" x14ac:dyDescent="0.25">
      <c r="B153" s="168" t="s">
        <v>354</v>
      </c>
      <c r="C153" s="208" t="s">
        <v>2</v>
      </c>
      <c r="D153" s="208" t="s">
        <v>346</v>
      </c>
      <c r="E153" s="326" t="s">
        <v>347</v>
      </c>
      <c r="F153" s="326" t="s">
        <v>348</v>
      </c>
    </row>
    <row r="154" spans="2:6" x14ac:dyDescent="0.25">
      <c r="B154" s="17" t="str">
        <f>A103</f>
        <v>Swap_1_Festzinszahler</v>
      </c>
      <c r="C154" s="51">
        <f>C103</f>
        <v>200000</v>
      </c>
      <c r="E154" s="51">
        <f>F103</f>
        <v>-8000</v>
      </c>
      <c r="F154" s="51">
        <f>I103</f>
        <v>-208000</v>
      </c>
    </row>
    <row r="155" spans="2:6" x14ac:dyDescent="0.25">
      <c r="B155" s="17" t="str">
        <f>A104</f>
        <v>Swap_1_Floater-Zinsempfänger</v>
      </c>
      <c r="C155" s="51">
        <f>C104</f>
        <v>-200000</v>
      </c>
      <c r="D155" s="17" t="str">
        <f>D104</f>
        <v>200.000,00 *floatingRate</v>
      </c>
      <c r="E155" s="51"/>
      <c r="F155" s="51"/>
    </row>
    <row r="156" spans="2:6" x14ac:dyDescent="0.25">
      <c r="B156" s="17" t="str">
        <f>A105</f>
        <v>Swap_2_Festzinsempfänger</v>
      </c>
      <c r="C156" s="51">
        <f>C105</f>
        <v>-200000</v>
      </c>
      <c r="E156" s="51">
        <f>F105</f>
        <v>204000</v>
      </c>
      <c r="F156" s="51"/>
    </row>
    <row r="157" spans="2:6" x14ac:dyDescent="0.25">
      <c r="B157" s="17" t="str">
        <f>A106</f>
        <v>Swap_2_Floater-Zinszahler</v>
      </c>
      <c r="C157" s="55">
        <f>C106</f>
        <v>200000</v>
      </c>
      <c r="D157" s="55" t="str">
        <f>D106</f>
        <v>-200.000,00 *floatingRate</v>
      </c>
      <c r="E157" s="55"/>
      <c r="F157" s="55"/>
    </row>
    <row r="158" spans="2:6" x14ac:dyDescent="0.25">
      <c r="B158" s="35" t="s">
        <v>355</v>
      </c>
      <c r="C158" s="96">
        <f>SUM(C154:C157)</f>
        <v>0</v>
      </c>
      <c r="D158" s="96" t="str">
        <f>D107</f>
        <v>0,00 *floatingRate</v>
      </c>
      <c r="E158" s="96">
        <f t="shared" ref="E158:F158" si="15">SUM(E154:E157)</f>
        <v>196000</v>
      </c>
      <c r="F158" s="96">
        <f t="shared" si="15"/>
        <v>-208000</v>
      </c>
    </row>
    <row r="160" spans="2:6" x14ac:dyDescent="0.25">
      <c r="B160" s="17" t="s">
        <v>351</v>
      </c>
    </row>
    <row r="161" spans="2:6" x14ac:dyDescent="0.25">
      <c r="B161" s="17" t="s">
        <v>356</v>
      </c>
      <c r="C161" s="328">
        <f>C31</f>
        <v>0</v>
      </c>
      <c r="D161" s="329"/>
      <c r="E161" s="329"/>
      <c r="F161" s="329"/>
    </row>
    <row r="162" spans="2:6" x14ac:dyDescent="0.25">
      <c r="B162" s="17" t="s">
        <v>353</v>
      </c>
      <c r="C162" s="329"/>
      <c r="D162" s="328">
        <v>0</v>
      </c>
      <c r="E162" s="328">
        <f>-E150</f>
        <v>-19.605920988164144</v>
      </c>
      <c r="F162" s="328">
        <f>-F150</f>
        <v>38.080802939395653</v>
      </c>
    </row>
    <row r="164" spans="2:6" x14ac:dyDescent="0.25">
      <c r="C164" s="367" t="s">
        <v>338</v>
      </c>
      <c r="D164" s="367"/>
    </row>
    <row r="165" spans="2:6" x14ac:dyDescent="0.25">
      <c r="B165" s="189" t="s">
        <v>366</v>
      </c>
      <c r="C165" s="208" t="s">
        <v>2</v>
      </c>
      <c r="D165" s="208" t="s">
        <v>346</v>
      </c>
      <c r="E165" s="326" t="s">
        <v>347</v>
      </c>
      <c r="F165" s="326" t="s">
        <v>348</v>
      </c>
    </row>
    <row r="166" spans="2:6" x14ac:dyDescent="0.25">
      <c r="B166" s="17" t="str">
        <f>B143</f>
        <v>Zinsbuch ex Margen</v>
      </c>
      <c r="C166" s="51">
        <f>C146</f>
        <v>0</v>
      </c>
      <c r="E166" s="51">
        <f t="shared" ref="E166:F166" si="16">E146</f>
        <v>-196000</v>
      </c>
      <c r="F166" s="51">
        <f t="shared" si="16"/>
        <v>208000</v>
      </c>
    </row>
    <row r="167" spans="2:6" x14ac:dyDescent="0.25">
      <c r="B167" s="17" t="str">
        <f>B153</f>
        <v>Steuerungsportfolio</v>
      </c>
      <c r="C167" s="51">
        <f>C158</f>
        <v>0</v>
      </c>
      <c r="D167" s="51" t="str">
        <f>D158</f>
        <v>0,00 *floatingRate</v>
      </c>
      <c r="E167" s="51">
        <f t="shared" ref="E167:F167" si="17">E158</f>
        <v>196000</v>
      </c>
      <c r="F167" s="51">
        <f t="shared" si="17"/>
        <v>-208000</v>
      </c>
    </row>
    <row r="168" spans="2:6" x14ac:dyDescent="0.25">
      <c r="B168" s="35" t="s">
        <v>355</v>
      </c>
      <c r="C168" s="96">
        <f>SUM(C164:C167)</f>
        <v>0</v>
      </c>
      <c r="D168" s="96" t="str">
        <f>D107</f>
        <v>0,00 *floatingRate</v>
      </c>
      <c r="E168" s="96">
        <f t="shared" ref="E168:F168" si="18">SUM(E164:E167)</f>
        <v>0</v>
      </c>
      <c r="F168" s="96">
        <f t="shared" si="18"/>
        <v>0</v>
      </c>
    </row>
    <row r="170" spans="2:6" x14ac:dyDescent="0.25">
      <c r="B170" s="17" t="s">
        <v>351</v>
      </c>
    </row>
    <row r="171" spans="2:6" x14ac:dyDescent="0.25">
      <c r="B171" s="17" t="s">
        <v>356</v>
      </c>
      <c r="C171" s="328">
        <f>C149+C161</f>
        <v>0</v>
      </c>
      <c r="D171" s="329"/>
      <c r="E171" s="329"/>
      <c r="F171" s="329"/>
    </row>
    <row r="172" spans="2:6" x14ac:dyDescent="0.25">
      <c r="B172" s="17" t="s">
        <v>353</v>
      </c>
      <c r="C172" s="329"/>
      <c r="D172" s="328">
        <v>0</v>
      </c>
      <c r="E172" s="328">
        <f>E150+E162</f>
        <v>0</v>
      </c>
      <c r="F172" s="328">
        <f>F150+F162</f>
        <v>0</v>
      </c>
    </row>
    <row r="175" spans="2:6" x14ac:dyDescent="0.25">
      <c r="B175" s="189" t="s">
        <v>359</v>
      </c>
    </row>
    <row r="176" spans="2:6" x14ac:dyDescent="0.25">
      <c r="C176" s="367" t="s">
        <v>338</v>
      </c>
      <c r="D176" s="367"/>
    </row>
    <row r="177" spans="2:6" x14ac:dyDescent="0.25">
      <c r="C177" s="208" t="s">
        <v>2</v>
      </c>
      <c r="D177" s="208" t="s">
        <v>346</v>
      </c>
      <c r="E177" s="326" t="s">
        <v>347</v>
      </c>
      <c r="F177" s="326" t="s">
        <v>348</v>
      </c>
    </row>
    <row r="178" spans="2:6" x14ac:dyDescent="0.25">
      <c r="B178" s="17" t="str">
        <f>B131</f>
        <v>Konditionsmargen</v>
      </c>
      <c r="E178" s="51">
        <f>F131</f>
        <v>9500</v>
      </c>
      <c r="F178" s="51">
        <f>I131</f>
        <v>10000</v>
      </c>
    </row>
    <row r="179" spans="2:6" x14ac:dyDescent="0.25">
      <c r="B179" s="17" t="str">
        <f t="shared" ref="B179:B181" si="19">B132</f>
        <v>Kapitalmarkt-Zins"kosten"</v>
      </c>
      <c r="E179" s="51">
        <f t="shared" ref="E179:E180" si="20">F132</f>
        <v>0</v>
      </c>
      <c r="F179" s="51">
        <f t="shared" ref="F179:F180" si="21">I132</f>
        <v>0</v>
      </c>
    </row>
    <row r="180" spans="2:6" x14ac:dyDescent="0.25">
      <c r="B180" s="283" t="str">
        <f t="shared" si="19"/>
        <v>Zinsergebnisprojektion_fixed</v>
      </c>
      <c r="C180" s="285"/>
      <c r="D180" s="285"/>
      <c r="E180" s="330">
        <f t="shared" si="20"/>
        <v>9500</v>
      </c>
      <c r="F180" s="331">
        <f t="shared" si="21"/>
        <v>10000</v>
      </c>
    </row>
    <row r="181" spans="2:6" x14ac:dyDescent="0.25">
      <c r="B181" s="148" t="str">
        <f t="shared" si="19"/>
        <v>Zinsergebnisprojektion_float</v>
      </c>
      <c r="C181" s="46"/>
      <c r="D181" s="55">
        <f>D134</f>
        <v>0</v>
      </c>
      <c r="E181" s="55" t="s">
        <v>360</v>
      </c>
      <c r="F181" s="332" t="s">
        <v>360</v>
      </c>
    </row>
  </sheetData>
  <mergeCells count="10">
    <mergeCell ref="C109:D109"/>
    <mergeCell ref="C142:D142"/>
    <mergeCell ref="C152:D152"/>
    <mergeCell ref="C164:D164"/>
    <mergeCell ref="C176:D176"/>
    <mergeCell ref="K5:K8"/>
    <mergeCell ref="G18:I20"/>
    <mergeCell ref="K43:K46"/>
    <mergeCell ref="G56:I58"/>
    <mergeCell ref="K93:K96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85"/>
  <sheetViews>
    <sheetView zoomScale="90" zoomScaleNormal="90" workbookViewId="0">
      <selection activeCell="X107" sqref="X107"/>
    </sheetView>
  </sheetViews>
  <sheetFormatPr baseColWidth="10" defaultRowHeight="14.4" x14ac:dyDescent="0.3"/>
  <cols>
    <col min="1" max="1" width="16.88671875" style="17" customWidth="1"/>
    <col min="2" max="2" width="26.109375" style="17" customWidth="1"/>
    <col min="3" max="3" width="19.44140625" style="17" bestFit="1" customWidth="1"/>
    <col min="4" max="4" width="12.6640625" style="17" bestFit="1" customWidth="1"/>
    <col min="5" max="5" width="12" style="17" customWidth="1"/>
    <col min="6" max="25" width="11.5546875" style="17"/>
  </cols>
  <sheetData>
    <row r="1" spans="1:25" ht="17.399999999999999" x14ac:dyDescent="0.3">
      <c r="A1" s="19" t="s">
        <v>240</v>
      </c>
    </row>
    <row r="2" spans="1:25" s="6" customFormat="1" x14ac:dyDescent="0.3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" thickBot="1" x14ac:dyDescent="0.35">
      <c r="C3" s="17" t="s">
        <v>2</v>
      </c>
      <c r="F3" s="17" t="s">
        <v>3</v>
      </c>
      <c r="I3" s="17" t="s">
        <v>4</v>
      </c>
    </row>
    <row r="4" spans="1:25" x14ac:dyDescent="0.3">
      <c r="A4" s="34" t="s">
        <v>90</v>
      </c>
      <c r="B4" s="35"/>
      <c r="C4" s="36" t="s">
        <v>100</v>
      </c>
      <c r="D4" s="37"/>
      <c r="E4" s="37"/>
      <c r="F4" s="37"/>
      <c r="G4" s="37"/>
      <c r="H4" s="37"/>
      <c r="I4" s="38"/>
      <c r="K4" s="39"/>
      <c r="L4" s="40" t="s">
        <v>44</v>
      </c>
      <c r="M4" s="41">
        <v>1</v>
      </c>
      <c r="N4" s="41">
        <v>2</v>
      </c>
      <c r="O4" s="42"/>
      <c r="Q4" s="367" t="s">
        <v>32</v>
      </c>
      <c r="R4" s="367" t="s">
        <v>36</v>
      </c>
      <c r="S4" s="367" t="s">
        <v>37</v>
      </c>
      <c r="T4" s="367" t="s">
        <v>38</v>
      </c>
      <c r="U4" s="367" t="s">
        <v>47</v>
      </c>
      <c r="V4" s="367" t="s">
        <v>48</v>
      </c>
      <c r="W4" s="367"/>
      <c r="X4" s="367"/>
    </row>
    <row r="5" spans="1:25" x14ac:dyDescent="0.3">
      <c r="K5" s="365" t="s">
        <v>2</v>
      </c>
      <c r="L5" s="43" t="s">
        <v>49</v>
      </c>
      <c r="M5" s="44">
        <v>0.02</v>
      </c>
      <c r="N5" s="44">
        <v>0.04</v>
      </c>
      <c r="O5" s="45"/>
      <c r="Q5" s="367"/>
      <c r="R5" s="367"/>
      <c r="S5" s="367"/>
      <c r="T5" s="367"/>
      <c r="U5" s="367"/>
      <c r="V5" s="17" t="s">
        <v>2</v>
      </c>
      <c r="W5" s="17" t="s">
        <v>3</v>
      </c>
      <c r="X5" s="17" t="s">
        <v>4</v>
      </c>
    </row>
    <row r="6" spans="1:25" x14ac:dyDescent="0.3">
      <c r="A6" s="17" t="s">
        <v>0</v>
      </c>
      <c r="B6" s="17" t="s">
        <v>13</v>
      </c>
      <c r="C6" s="17" t="s">
        <v>2</v>
      </c>
      <c r="F6" s="17" t="s">
        <v>3</v>
      </c>
      <c r="I6" s="17" t="s">
        <v>4</v>
      </c>
      <c r="K6" s="365"/>
      <c r="L6" s="43" t="s">
        <v>45</v>
      </c>
      <c r="M6" s="44">
        <v>0.03</v>
      </c>
      <c r="N6" s="44">
        <v>0.05</v>
      </c>
      <c r="O6" s="45"/>
      <c r="P6" s="17" t="s">
        <v>35</v>
      </c>
      <c r="Q6" s="17" t="s">
        <v>39</v>
      </c>
      <c r="R6" s="17" t="s">
        <v>11</v>
      </c>
      <c r="S6" s="17">
        <v>100000</v>
      </c>
      <c r="T6" s="17">
        <v>2</v>
      </c>
      <c r="U6" s="108">
        <v>0.09</v>
      </c>
      <c r="V6" s="109">
        <v>-100000</v>
      </c>
      <c r="W6" s="109">
        <v>9000</v>
      </c>
      <c r="X6" s="109">
        <v>109000</v>
      </c>
    </row>
    <row r="7" spans="1:25" x14ac:dyDescent="0.3">
      <c r="A7" s="17" t="s">
        <v>1</v>
      </c>
      <c r="B7" s="17" t="s">
        <v>14</v>
      </c>
      <c r="C7" s="51">
        <v>-100000</v>
      </c>
      <c r="D7" s="51"/>
      <c r="E7" s="51"/>
      <c r="F7" s="51">
        <f>-C7*N13</f>
        <v>9000</v>
      </c>
      <c r="G7" s="51"/>
      <c r="H7" s="51"/>
      <c r="I7" s="51">
        <f>-C7*(1+N13)</f>
        <v>109000.00000000001</v>
      </c>
      <c r="K7" s="365"/>
      <c r="L7" s="43" t="s">
        <v>46</v>
      </c>
      <c r="M7" s="44">
        <v>2.5000000000000001E-3</v>
      </c>
      <c r="N7" s="44">
        <v>5.0000000000000001E-3</v>
      </c>
      <c r="O7" s="45"/>
      <c r="P7" s="17" t="s">
        <v>34</v>
      </c>
      <c r="Q7" s="17" t="s">
        <v>40</v>
      </c>
      <c r="R7" s="17" t="s">
        <v>11</v>
      </c>
      <c r="S7" s="17">
        <v>100000</v>
      </c>
      <c r="T7" s="17">
        <v>2</v>
      </c>
      <c r="U7" s="108">
        <v>0.09</v>
      </c>
      <c r="V7" s="109">
        <v>-100000</v>
      </c>
      <c r="W7" s="109">
        <v>9000</v>
      </c>
      <c r="X7" s="109">
        <v>109000</v>
      </c>
    </row>
    <row r="8" spans="1:25" x14ac:dyDescent="0.3">
      <c r="A8" s="17" t="s">
        <v>1</v>
      </c>
      <c r="B8" s="17" t="s">
        <v>15</v>
      </c>
      <c r="C8" s="51">
        <v>-100000</v>
      </c>
      <c r="D8" s="51"/>
      <c r="E8" s="51"/>
      <c r="F8" s="51">
        <f>-C8*N13</f>
        <v>9000</v>
      </c>
      <c r="G8" s="51"/>
      <c r="H8" s="51"/>
      <c r="I8" s="51">
        <f>-C8*(1+N13)</f>
        <v>109000.00000000001</v>
      </c>
      <c r="K8" s="365"/>
      <c r="L8" s="43"/>
      <c r="M8" s="43"/>
      <c r="N8" s="43"/>
      <c r="O8" s="45"/>
      <c r="P8" s="17" t="s">
        <v>33</v>
      </c>
      <c r="Q8" s="17" t="s">
        <v>41</v>
      </c>
      <c r="R8" s="17" t="s">
        <v>12</v>
      </c>
      <c r="S8" s="17">
        <v>200000</v>
      </c>
      <c r="T8" s="17">
        <v>1</v>
      </c>
      <c r="U8" s="108">
        <v>4.4999999999999998E-2</v>
      </c>
      <c r="V8" s="110">
        <v>200000</v>
      </c>
      <c r="W8" s="110">
        <v>-204500</v>
      </c>
      <c r="X8" s="110"/>
    </row>
    <row r="9" spans="1:25" x14ac:dyDescent="0.3">
      <c r="A9" s="46" t="s">
        <v>5</v>
      </c>
      <c r="B9" s="17" t="s">
        <v>16</v>
      </c>
      <c r="C9" s="55">
        <v>200000</v>
      </c>
      <c r="D9" s="51"/>
      <c r="E9" s="51"/>
      <c r="F9" s="55">
        <f>-C9*(1+M15)</f>
        <v>-204500</v>
      </c>
      <c r="G9" s="51"/>
      <c r="H9" s="51"/>
      <c r="I9" s="55"/>
      <c r="K9" s="47"/>
      <c r="L9" s="43"/>
      <c r="M9" s="43"/>
      <c r="N9" s="43"/>
      <c r="O9" s="45"/>
      <c r="V9" s="109">
        <f>SUM(V6:V8)</f>
        <v>0</v>
      </c>
      <c r="W9" s="109">
        <f t="shared" ref="W9:X9" si="0">SUM(W6:W8)</f>
        <v>-186500</v>
      </c>
      <c r="X9" s="109">
        <f t="shared" si="0"/>
        <v>218000</v>
      </c>
    </row>
    <row r="10" spans="1:25" x14ac:dyDescent="0.3">
      <c r="A10" s="48" t="s">
        <v>99</v>
      </c>
      <c r="B10" s="35"/>
      <c r="C10" s="51">
        <f>SUM(C7:C9)</f>
        <v>0</v>
      </c>
      <c r="D10" s="51"/>
      <c r="E10" s="51"/>
      <c r="F10" s="51">
        <f>SUM(F7:F9)</f>
        <v>-186500</v>
      </c>
      <c r="G10" s="51"/>
      <c r="H10" s="51"/>
      <c r="I10" s="51">
        <f>SUM(I7:I9)</f>
        <v>218000.00000000003</v>
      </c>
      <c r="K10" s="47"/>
      <c r="L10" s="43"/>
      <c r="M10" s="43">
        <v>1</v>
      </c>
      <c r="N10" s="43">
        <v>2</v>
      </c>
      <c r="O10" s="45"/>
    </row>
    <row r="11" spans="1:25" x14ac:dyDescent="0.3">
      <c r="K11" s="47" t="s">
        <v>43</v>
      </c>
      <c r="L11" s="43" t="s">
        <v>7</v>
      </c>
      <c r="M11" s="44">
        <f>M5</f>
        <v>0.02</v>
      </c>
      <c r="N11" s="44">
        <f>N5</f>
        <v>0.04</v>
      </c>
      <c r="O11" s="45"/>
    </row>
    <row r="12" spans="1:25" x14ac:dyDescent="0.3">
      <c r="K12" s="47"/>
      <c r="L12" s="43"/>
      <c r="M12" s="43">
        <v>1</v>
      </c>
      <c r="N12" s="43">
        <v>2</v>
      </c>
      <c r="O12" s="45"/>
    </row>
    <row r="13" spans="1:25" x14ac:dyDescent="0.3">
      <c r="D13" s="111"/>
      <c r="E13" s="112" t="s">
        <v>53</v>
      </c>
      <c r="F13" s="113">
        <f>F7+F8</f>
        <v>18000</v>
      </c>
      <c r="G13" s="113"/>
      <c r="H13" s="114" t="s">
        <v>53</v>
      </c>
      <c r="I13" s="115">
        <f>I7+I8+C7+C8</f>
        <v>18000.000000000029</v>
      </c>
      <c r="J13" s="116"/>
      <c r="K13" s="47"/>
      <c r="L13" s="43" t="s">
        <v>11</v>
      </c>
      <c r="M13" s="44">
        <f>M5+M6</f>
        <v>0.05</v>
      </c>
      <c r="N13" s="44">
        <f>N5+N6</f>
        <v>0.09</v>
      </c>
      <c r="O13" s="45"/>
    </row>
    <row r="14" spans="1:25" x14ac:dyDescent="0.3">
      <c r="D14" s="117"/>
      <c r="E14" s="118" t="s">
        <v>116</v>
      </c>
      <c r="F14" s="119">
        <f>F9+C9</f>
        <v>-4500</v>
      </c>
      <c r="G14" s="119"/>
      <c r="H14" s="120" t="s">
        <v>118</v>
      </c>
      <c r="I14" s="121">
        <f>(M18*1/N18-1)*-C9</f>
        <v>-12244.897959183643</v>
      </c>
      <c r="J14" s="116" t="s">
        <v>119</v>
      </c>
      <c r="K14" s="47" t="s">
        <v>102</v>
      </c>
      <c r="L14" s="43"/>
      <c r="M14" s="43">
        <v>1</v>
      </c>
      <c r="N14" s="43">
        <v>2</v>
      </c>
      <c r="O14" s="45"/>
    </row>
    <row r="15" spans="1:25" x14ac:dyDescent="0.3">
      <c r="D15" s="117"/>
      <c r="E15" s="46"/>
      <c r="F15" s="122"/>
      <c r="G15" s="46"/>
      <c r="H15" s="123" t="s">
        <v>117</v>
      </c>
      <c r="I15" s="124">
        <f>(M22*1/N22-1)*-C9-I14</f>
        <v>-1565.8437287958895</v>
      </c>
      <c r="J15" s="116" t="s">
        <v>120</v>
      </c>
      <c r="K15" s="47"/>
      <c r="L15" s="43" t="s">
        <v>12</v>
      </c>
      <c r="M15" s="44">
        <f>M5+M7</f>
        <v>2.2499999999999999E-2</v>
      </c>
      <c r="N15" s="44">
        <f>N5+N7</f>
        <v>4.4999999999999998E-2</v>
      </c>
      <c r="O15" s="45"/>
    </row>
    <row r="16" spans="1:25" x14ac:dyDescent="0.3">
      <c r="C16" s="62">
        <f>F7*M20+I7*N20</f>
        <v>100000</v>
      </c>
      <c r="D16" s="125"/>
      <c r="E16" s="126" t="s">
        <v>54</v>
      </c>
      <c r="F16" s="127">
        <f>F13+F14</f>
        <v>13500</v>
      </c>
      <c r="G16" s="128"/>
      <c r="H16" s="129" t="s">
        <v>54</v>
      </c>
      <c r="I16" s="130">
        <f>I13+I14+I15</f>
        <v>4189.2583120204963</v>
      </c>
      <c r="J16" s="116"/>
      <c r="K16" s="47"/>
      <c r="L16" s="43"/>
      <c r="M16" s="43"/>
      <c r="N16" s="43"/>
      <c r="O16" s="45"/>
    </row>
    <row r="17" spans="2:16" x14ac:dyDescent="0.3">
      <c r="C17" s="62">
        <f>F8*M20+I8*N20</f>
        <v>100000</v>
      </c>
      <c r="D17" s="125"/>
      <c r="E17" s="131"/>
      <c r="F17" s="131"/>
      <c r="G17" s="131"/>
      <c r="H17" s="131"/>
      <c r="I17" s="132"/>
      <c r="J17" s="133"/>
      <c r="K17" s="47"/>
      <c r="L17" s="43"/>
      <c r="M17" s="43">
        <v>1</v>
      </c>
      <c r="N17" s="43">
        <v>2</v>
      </c>
      <c r="O17" s="45"/>
    </row>
    <row r="18" spans="2:16" ht="15" customHeight="1" x14ac:dyDescent="0.3">
      <c r="C18" s="64">
        <f>F9*M22</f>
        <v>-200000</v>
      </c>
      <c r="D18" s="125"/>
      <c r="E18" s="134"/>
      <c r="F18" s="134"/>
      <c r="G18" s="373" t="s">
        <v>62</v>
      </c>
      <c r="H18" s="373"/>
      <c r="I18" s="374"/>
      <c r="J18" s="116"/>
      <c r="K18" s="47" t="s">
        <v>42</v>
      </c>
      <c r="L18" s="43" t="s">
        <v>7</v>
      </c>
      <c r="M18" s="43">
        <f>1/(1+M11)</f>
        <v>0.98039215686274506</v>
      </c>
      <c r="N18" s="43">
        <f>(1-N11*SUM($M$18:M18))/(1+N11)</f>
        <v>0.92383107088989447</v>
      </c>
      <c r="O18" s="45"/>
    </row>
    <row r="19" spans="2:16" x14ac:dyDescent="0.3">
      <c r="B19" s="58" t="s">
        <v>98</v>
      </c>
      <c r="C19" s="65">
        <f>SUM(C16:C18)</f>
        <v>0</v>
      </c>
      <c r="D19" s="135">
        <f>F10*M18+I10*N18</f>
        <v>18552.036199095077</v>
      </c>
      <c r="E19" s="179">
        <f>F16*M18+I13*N18+I14*N18</f>
        <v>18552.036199095073</v>
      </c>
      <c r="F19" s="134"/>
      <c r="G19" s="373"/>
      <c r="H19" s="373"/>
      <c r="I19" s="374"/>
      <c r="J19" s="116"/>
      <c r="K19" s="47"/>
      <c r="L19" s="43"/>
      <c r="M19" s="43">
        <v>1</v>
      </c>
      <c r="N19" s="43">
        <v>2</v>
      </c>
      <c r="O19" s="45"/>
    </row>
    <row r="20" spans="2:16" x14ac:dyDescent="0.3">
      <c r="D20" s="177">
        <f>F10*M22+I10*N22</f>
        <v>17035.364583942661</v>
      </c>
      <c r="E20" s="178">
        <f>SUM(F16*M22+I16*N22)</f>
        <v>17035.364583942664</v>
      </c>
      <c r="F20" s="137"/>
      <c r="G20" s="375"/>
      <c r="H20" s="375"/>
      <c r="I20" s="376"/>
      <c r="J20" s="116"/>
      <c r="K20" s="47"/>
      <c r="L20" s="43" t="s">
        <v>11</v>
      </c>
      <c r="M20" s="43">
        <f t="shared" ref="M20:M22" si="1">1/(1+M13)</f>
        <v>0.95238095238095233</v>
      </c>
      <c r="N20" s="43">
        <f>(1-N13*SUM($M$20:M20))/(1+N13)</f>
        <v>0.83879423328964609</v>
      </c>
      <c r="O20" s="45"/>
    </row>
    <row r="21" spans="2:16" x14ac:dyDescent="0.3">
      <c r="B21" s="50" t="s">
        <v>104</v>
      </c>
      <c r="C21" s="66">
        <v>1</v>
      </c>
      <c r="D21" s="66">
        <v>2</v>
      </c>
      <c r="E21" s="67"/>
      <c r="K21" s="47"/>
      <c r="L21" s="43"/>
      <c r="M21" s="43">
        <v>1</v>
      </c>
      <c r="N21" s="43">
        <v>2</v>
      </c>
      <c r="O21" s="45"/>
    </row>
    <row r="22" spans="2:16" ht="15" thickBot="1" x14ac:dyDescent="0.35">
      <c r="B22" s="138" t="s">
        <v>107</v>
      </c>
      <c r="C22" s="68">
        <v>19.557989438675577</v>
      </c>
      <c r="D22" s="68">
        <v>-35.8202174549224</v>
      </c>
      <c r="K22" s="69"/>
      <c r="L22" s="70" t="s">
        <v>12</v>
      </c>
      <c r="M22" s="70">
        <f t="shared" si="1"/>
        <v>0.97799511002444994</v>
      </c>
      <c r="N22" s="70">
        <f>(1-N15*SUM($M$22:M22))/(1+N15)</f>
        <v>0.91482317708028693</v>
      </c>
      <c r="O22" s="71"/>
    </row>
    <row r="23" spans="2:16" x14ac:dyDescent="0.3">
      <c r="B23" s="50" t="s">
        <v>106</v>
      </c>
      <c r="C23" s="68">
        <v>0</v>
      </c>
      <c r="D23" s="68">
        <v>-35.820217454922386</v>
      </c>
      <c r="K23" s="43"/>
      <c r="L23" s="43"/>
      <c r="M23" s="43"/>
      <c r="N23" s="43"/>
      <c r="O23" s="43"/>
    </row>
    <row r="24" spans="2:16" x14ac:dyDescent="0.3">
      <c r="B24" s="50" t="s">
        <v>105</v>
      </c>
      <c r="C24" s="68">
        <v>19.557989438675577</v>
      </c>
      <c r="D24" s="68">
        <v>0</v>
      </c>
    </row>
    <row r="25" spans="2:16" x14ac:dyDescent="0.3">
      <c r="B25" s="72" t="s">
        <v>56</v>
      </c>
      <c r="F25" s="46" t="s">
        <v>60</v>
      </c>
      <c r="I25" s="73" t="s">
        <v>61</v>
      </c>
      <c r="P25" s="67"/>
    </row>
    <row r="26" spans="2:16" x14ac:dyDescent="0.3">
      <c r="B26" s="74" t="s">
        <v>58</v>
      </c>
      <c r="E26" s="50" t="s">
        <v>91</v>
      </c>
      <c r="F26" s="51">
        <f>'Ertragswertkalkül mit Marge'!F113+'Ertragswertkalkül mit Marge'!F120</f>
        <v>0</v>
      </c>
      <c r="I26" s="51">
        <f>'Ertragswertkalkül mit Marge'!I113+'Ertragswertkalkül mit Marge'!I120</f>
        <v>0</v>
      </c>
    </row>
    <row r="27" spans="2:16" x14ac:dyDescent="0.3">
      <c r="E27" s="50" t="s">
        <v>122</v>
      </c>
      <c r="F27" s="55">
        <f>SUM(F13:F14)-F26</f>
        <v>13500</v>
      </c>
      <c r="I27" s="55">
        <f>I16-I26-I15</f>
        <v>5755.1020408163859</v>
      </c>
    </row>
    <row r="28" spans="2:16" x14ac:dyDescent="0.3">
      <c r="B28" s="17" t="s">
        <v>24</v>
      </c>
      <c r="E28" s="50" t="s">
        <v>93</v>
      </c>
      <c r="F28" s="51">
        <f>SUM(F26:F27)</f>
        <v>13500</v>
      </c>
      <c r="G28" s="51"/>
      <c r="H28" s="51"/>
      <c r="I28" s="51">
        <f>SUM(I26:I27)</f>
        <v>5755.1020408163859</v>
      </c>
    </row>
    <row r="29" spans="2:16" ht="15" thickBot="1" x14ac:dyDescent="0.35">
      <c r="E29" s="50" t="s">
        <v>123</v>
      </c>
      <c r="F29" s="139">
        <v>0</v>
      </c>
      <c r="G29" s="51"/>
      <c r="H29" s="51"/>
      <c r="I29" s="139">
        <f>I15</f>
        <v>-1565.8437287958895</v>
      </c>
    </row>
    <row r="30" spans="2:16" ht="15" thickTop="1" x14ac:dyDescent="0.3">
      <c r="E30" s="50" t="s">
        <v>124</v>
      </c>
      <c r="F30" s="51">
        <f>F28+F29</f>
        <v>13500</v>
      </c>
      <c r="G30" s="51"/>
      <c r="H30" s="51"/>
      <c r="I30" s="51">
        <f>I28+I29</f>
        <v>4189.2583120204963</v>
      </c>
    </row>
    <row r="32" spans="2:16" x14ac:dyDescent="0.3">
      <c r="B32" s="50" t="s">
        <v>71</v>
      </c>
      <c r="D32" s="76"/>
      <c r="E32" s="50" t="s">
        <v>51</v>
      </c>
      <c r="F32" s="51">
        <f>'Ertragswertkalkül mit Marge'!F113/2</f>
        <v>0</v>
      </c>
      <c r="G32" s="51"/>
      <c r="H32" s="51"/>
      <c r="I32" s="51">
        <f>'Ertragswertkalkül mit Marge'!I113/2</f>
        <v>0</v>
      </c>
    </row>
    <row r="33" spans="1:25" x14ac:dyDescent="0.3">
      <c r="B33" s="75" t="s">
        <v>72</v>
      </c>
      <c r="D33" s="76"/>
      <c r="E33" s="50" t="s">
        <v>51</v>
      </c>
      <c r="F33" s="51">
        <f>'Ertragswertkalkül mit Marge'!F113/2</f>
        <v>0</v>
      </c>
      <c r="G33" s="51"/>
      <c r="H33" s="51"/>
      <c r="I33" s="51">
        <f>'Ertragswertkalkül mit Marge'!I113/2</f>
        <v>0</v>
      </c>
    </row>
    <row r="34" spans="1:25" x14ac:dyDescent="0.3">
      <c r="B34" s="75" t="s">
        <v>57</v>
      </c>
      <c r="E34" s="50" t="s">
        <v>52</v>
      </c>
      <c r="F34" s="55">
        <f>'Ertragswertkalkül mit Marge'!F120</f>
        <v>0</v>
      </c>
      <c r="I34" s="101">
        <f>F34</f>
        <v>0</v>
      </c>
    </row>
    <row r="35" spans="1:25" x14ac:dyDescent="0.3">
      <c r="B35" s="75" t="s">
        <v>121</v>
      </c>
      <c r="E35" s="50" t="s">
        <v>91</v>
      </c>
      <c r="F35" s="51">
        <f>SUM(F32:F34)</f>
        <v>0</v>
      </c>
      <c r="G35" s="51"/>
      <c r="H35" s="51"/>
      <c r="I35" s="78">
        <f>SUM(I32:I34)</f>
        <v>0</v>
      </c>
      <c r="M35" s="67"/>
    </row>
    <row r="36" spans="1:25" x14ac:dyDescent="0.3">
      <c r="B36" s="75"/>
      <c r="E36" s="50" t="s">
        <v>51</v>
      </c>
      <c r="F36" s="51">
        <f>-C7*N11</f>
        <v>4000</v>
      </c>
      <c r="G36" s="51"/>
      <c r="H36" s="51"/>
      <c r="I36" s="51">
        <f>F36</f>
        <v>4000</v>
      </c>
    </row>
    <row r="37" spans="1:25" x14ac:dyDescent="0.3">
      <c r="B37" s="75"/>
      <c r="E37" s="50" t="s">
        <v>51</v>
      </c>
      <c r="F37" s="51">
        <f>-C8*N11</f>
        <v>4000</v>
      </c>
      <c r="G37" s="51"/>
      <c r="H37" s="51"/>
      <c r="I37" s="51">
        <f>F37</f>
        <v>4000</v>
      </c>
    </row>
    <row r="38" spans="1:25" x14ac:dyDescent="0.3">
      <c r="B38" s="75"/>
      <c r="E38" s="50" t="s">
        <v>52</v>
      </c>
      <c r="F38" s="55">
        <f>-C9*M11</f>
        <v>-4000</v>
      </c>
      <c r="G38" s="51"/>
      <c r="H38" s="51"/>
      <c r="I38" s="77">
        <f>F38</f>
        <v>-4000</v>
      </c>
    </row>
    <row r="39" spans="1:25" ht="15" thickBot="1" x14ac:dyDescent="0.35">
      <c r="B39" s="75"/>
      <c r="D39" s="97"/>
      <c r="E39" s="102" t="s">
        <v>92</v>
      </c>
      <c r="F39" s="103">
        <f>SUM(F36:F38)</f>
        <v>4000</v>
      </c>
      <c r="G39" s="51"/>
      <c r="H39" s="51"/>
      <c r="I39" s="104">
        <f>SUM(I36:I38)</f>
        <v>4000</v>
      </c>
    </row>
    <row r="40" spans="1:25" ht="16.2" thickTop="1" x14ac:dyDescent="0.3">
      <c r="B40" s="17" t="s">
        <v>24</v>
      </c>
      <c r="E40" s="7" t="s">
        <v>94</v>
      </c>
      <c r="F40" s="51">
        <f>F39+F35</f>
        <v>4000</v>
      </c>
      <c r="I40" s="51">
        <f>I39+I35</f>
        <v>4000</v>
      </c>
    </row>
    <row r="42" spans="1:25" s="6" customFormat="1" x14ac:dyDescent="0.3">
      <c r="A42" s="33" t="s">
        <v>179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5" thickBot="1" x14ac:dyDescent="0.35"/>
    <row r="44" spans="1:25" x14ac:dyDescent="0.3">
      <c r="K44" s="39"/>
      <c r="L44" s="40" t="s">
        <v>44</v>
      </c>
      <c r="M44" s="41">
        <v>1</v>
      </c>
      <c r="N44" s="41">
        <v>2</v>
      </c>
      <c r="O44" s="42"/>
    </row>
    <row r="45" spans="1:25" x14ac:dyDescent="0.3">
      <c r="K45" s="366" t="s">
        <v>50</v>
      </c>
      <c r="L45" s="43" t="s">
        <v>49</v>
      </c>
      <c r="M45" s="44">
        <f t="shared" ref="M45:N47" si="2">M5+P45</f>
        <v>0.04</v>
      </c>
      <c r="N45" s="44">
        <f t="shared" si="2"/>
        <v>0.06</v>
      </c>
      <c r="O45" s="45"/>
      <c r="P45" s="17">
        <v>0.02</v>
      </c>
      <c r="Q45" s="17">
        <v>0.02</v>
      </c>
      <c r="R45" s="17" t="s">
        <v>70</v>
      </c>
    </row>
    <row r="46" spans="1:25" x14ac:dyDescent="0.3">
      <c r="A46" s="17" t="s">
        <v>0</v>
      </c>
      <c r="B46" s="17" t="s">
        <v>13</v>
      </c>
      <c r="C46" s="17" t="s">
        <v>2</v>
      </c>
      <c r="F46" s="17" t="s">
        <v>3</v>
      </c>
      <c r="I46" s="17" t="s">
        <v>4</v>
      </c>
      <c r="K46" s="365"/>
      <c r="L46" s="43" t="s">
        <v>45</v>
      </c>
      <c r="M46" s="44">
        <f t="shared" si="2"/>
        <v>0.06</v>
      </c>
      <c r="N46" s="44">
        <f t="shared" si="2"/>
        <v>0.08</v>
      </c>
      <c r="O46" s="45"/>
      <c r="P46" s="17">
        <v>0.03</v>
      </c>
      <c r="Q46" s="17">
        <v>0.03</v>
      </c>
      <c r="R46" s="17" t="s">
        <v>69</v>
      </c>
    </row>
    <row r="47" spans="1:25" x14ac:dyDescent="0.3">
      <c r="A47" s="17" t="s">
        <v>51</v>
      </c>
      <c r="C47" s="105">
        <f>C7</f>
        <v>-100000</v>
      </c>
      <c r="D47" s="105"/>
      <c r="E47" s="105"/>
      <c r="F47" s="105">
        <f t="shared" ref="F47:I47" si="3">F7</f>
        <v>9000</v>
      </c>
      <c r="G47" s="105"/>
      <c r="H47" s="105"/>
      <c r="I47" s="105">
        <f t="shared" si="3"/>
        <v>109000.00000000001</v>
      </c>
      <c r="K47" s="365"/>
      <c r="L47" s="43" t="s">
        <v>46</v>
      </c>
      <c r="M47" s="44">
        <f t="shared" si="2"/>
        <v>7.4999999999999997E-3</v>
      </c>
      <c r="N47" s="44">
        <f t="shared" si="2"/>
        <v>0.01</v>
      </c>
      <c r="O47" s="45"/>
      <c r="P47" s="17">
        <v>5.0000000000000001E-3</v>
      </c>
      <c r="Q47" s="17">
        <v>5.0000000000000001E-3</v>
      </c>
      <c r="R47" s="17" t="s">
        <v>74</v>
      </c>
    </row>
    <row r="48" spans="1:25" x14ac:dyDescent="0.3">
      <c r="A48" s="17" t="s">
        <v>51</v>
      </c>
      <c r="C48" s="105">
        <f>C8</f>
        <v>-100000</v>
      </c>
      <c r="D48" s="105"/>
      <c r="E48" s="105"/>
      <c r="F48" s="105">
        <f>F8</f>
        <v>9000</v>
      </c>
      <c r="G48" s="105"/>
      <c r="H48" s="105"/>
      <c r="I48" s="105">
        <f>I8</f>
        <v>109000.00000000001</v>
      </c>
      <c r="K48" s="365"/>
      <c r="L48" s="43"/>
      <c r="M48" s="43"/>
      <c r="N48" s="43"/>
      <c r="O48" s="45"/>
    </row>
    <row r="49" spans="1:15" x14ac:dyDescent="0.3">
      <c r="A49" s="46" t="s">
        <v>52</v>
      </c>
      <c r="C49" s="106">
        <f>C9</f>
        <v>200000</v>
      </c>
      <c r="D49" s="105"/>
      <c r="E49" s="105"/>
      <c r="F49" s="106">
        <f>F9</f>
        <v>-204500</v>
      </c>
      <c r="G49" s="105"/>
      <c r="H49" s="105"/>
      <c r="I49" s="106">
        <f>I9</f>
        <v>0</v>
      </c>
      <c r="K49" s="47"/>
      <c r="L49" s="43"/>
      <c r="M49" s="43"/>
      <c r="N49" s="43"/>
      <c r="O49" s="45"/>
    </row>
    <row r="50" spans="1:15" x14ac:dyDescent="0.3">
      <c r="A50" s="48" t="s">
        <v>26</v>
      </c>
      <c r="B50" s="48"/>
      <c r="C50" s="105">
        <f>SUM(C47:C49)</f>
        <v>0</v>
      </c>
      <c r="D50" s="105"/>
      <c r="E50" s="105"/>
      <c r="F50" s="105">
        <f>SUM(F47:F49)</f>
        <v>-186500</v>
      </c>
      <c r="G50" s="105"/>
      <c r="H50" s="105"/>
      <c r="I50" s="105">
        <f>SUM(I47:I49)</f>
        <v>218000.00000000003</v>
      </c>
      <c r="K50" s="47"/>
      <c r="L50" s="43"/>
      <c r="M50" s="43">
        <v>1</v>
      </c>
      <c r="N50" s="43">
        <v>2</v>
      </c>
      <c r="O50" s="45"/>
    </row>
    <row r="51" spans="1:15" x14ac:dyDescent="0.3">
      <c r="K51" s="47" t="s">
        <v>43</v>
      </c>
      <c r="L51" s="43" t="s">
        <v>7</v>
      </c>
      <c r="M51" s="44">
        <f>M45</f>
        <v>0.04</v>
      </c>
      <c r="N51" s="44">
        <f>N45</f>
        <v>0.06</v>
      </c>
      <c r="O51" s="45"/>
    </row>
    <row r="52" spans="1:15" x14ac:dyDescent="0.3">
      <c r="K52" s="47"/>
      <c r="L52" s="43"/>
      <c r="M52" s="43">
        <v>1</v>
      </c>
      <c r="N52" s="43">
        <v>2</v>
      </c>
      <c r="O52" s="45"/>
    </row>
    <row r="53" spans="1:15" x14ac:dyDescent="0.3">
      <c r="E53" s="140" t="s">
        <v>53</v>
      </c>
      <c r="F53" s="113">
        <f>F47+F48</f>
        <v>18000</v>
      </c>
      <c r="G53" s="113"/>
      <c r="H53" s="114" t="s">
        <v>53</v>
      </c>
      <c r="I53" s="115">
        <f>I47+I48+C47+C48</f>
        <v>18000.000000000029</v>
      </c>
      <c r="J53" s="116"/>
      <c r="K53" s="47"/>
      <c r="L53" s="43" t="s">
        <v>11</v>
      </c>
      <c r="M53" s="44">
        <f>M51+M46</f>
        <v>0.1</v>
      </c>
      <c r="N53" s="44">
        <f>N51+N46</f>
        <v>0.14000000000000001</v>
      </c>
      <c r="O53" s="45"/>
    </row>
    <row r="54" spans="1:15" x14ac:dyDescent="0.3">
      <c r="E54" s="118" t="s">
        <v>116</v>
      </c>
      <c r="F54" s="119">
        <f>F49+C49</f>
        <v>-4500</v>
      </c>
      <c r="G54" s="119"/>
      <c r="H54" s="120" t="s">
        <v>118</v>
      </c>
      <c r="I54" s="121">
        <f>(M58*1/N58-1)*-C49</f>
        <v>-16326.530612244871</v>
      </c>
      <c r="J54" s="116" t="s">
        <v>119</v>
      </c>
      <c r="K54" s="47" t="s">
        <v>102</v>
      </c>
      <c r="L54" s="43"/>
      <c r="M54" s="43">
        <v>1</v>
      </c>
      <c r="N54" s="43">
        <v>2</v>
      </c>
      <c r="O54" s="45"/>
    </row>
    <row r="55" spans="1:15" x14ac:dyDescent="0.3">
      <c r="E55" s="46"/>
      <c r="F55" s="122"/>
      <c r="G55" s="46"/>
      <c r="H55" s="123" t="s">
        <v>117</v>
      </c>
      <c r="I55" s="124">
        <f>(M62*1/N62-1)*-C49-I54</f>
        <v>-2599.3005898011579</v>
      </c>
      <c r="J55" s="116" t="s">
        <v>120</v>
      </c>
      <c r="K55" s="47" t="s">
        <v>102</v>
      </c>
      <c r="L55" s="43" t="s">
        <v>12</v>
      </c>
      <c r="M55" s="44">
        <f>M51+M47+P55</f>
        <v>4.7500000000000001E-2</v>
      </c>
      <c r="N55" s="44">
        <f>N51+N47</f>
        <v>6.9999999999999993E-2</v>
      </c>
      <c r="O55" s="45"/>
    </row>
    <row r="56" spans="1:15" x14ac:dyDescent="0.3">
      <c r="C56" s="62">
        <f>F47*M60+I47*N60</f>
        <v>91626.794258373193</v>
      </c>
      <c r="D56" s="81">
        <f>C56-C16</f>
        <v>-8373.2057416268071</v>
      </c>
      <c r="E56" s="126" t="s">
        <v>54</v>
      </c>
      <c r="F56" s="127">
        <f>F53+F54</f>
        <v>13500</v>
      </c>
      <c r="G56" s="128"/>
      <c r="H56" s="129" t="s">
        <v>54</v>
      </c>
      <c r="I56" s="130">
        <f>I53+I54+I55</f>
        <v>-925.83120204599982</v>
      </c>
      <c r="J56" s="116"/>
      <c r="K56" s="47"/>
      <c r="L56" s="43"/>
      <c r="M56" s="43"/>
      <c r="N56" s="43"/>
      <c r="O56" s="45"/>
    </row>
    <row r="57" spans="1:15" x14ac:dyDescent="0.3">
      <c r="C57" s="62">
        <f>F48*M60+I48*N60</f>
        <v>91626.794258373193</v>
      </c>
      <c r="D57" s="81">
        <f>C57-C17</f>
        <v>-8373.2057416268071</v>
      </c>
      <c r="E57" s="141"/>
      <c r="F57" s="131"/>
      <c r="G57" s="131"/>
      <c r="H57" s="131"/>
      <c r="I57" s="132"/>
      <c r="J57" s="133"/>
      <c r="K57" s="47"/>
      <c r="L57" s="43"/>
      <c r="M57" s="43">
        <v>1</v>
      </c>
      <c r="N57" s="43">
        <v>2</v>
      </c>
      <c r="O57" s="45"/>
    </row>
    <row r="58" spans="1:15" ht="15" customHeight="1" x14ac:dyDescent="0.3">
      <c r="C58" s="64">
        <f>F49*M62</f>
        <v>-195226.73031026253</v>
      </c>
      <c r="D58" s="81">
        <f>C58-C18</f>
        <v>4773.2696897374699</v>
      </c>
      <c r="E58" s="117"/>
      <c r="F58" s="134"/>
      <c r="G58" s="373" t="s">
        <v>62</v>
      </c>
      <c r="H58" s="373"/>
      <c r="I58" s="374"/>
      <c r="J58" s="116"/>
      <c r="K58" s="47" t="s">
        <v>42</v>
      </c>
      <c r="L58" s="43" t="s">
        <v>7</v>
      </c>
      <c r="M58" s="43">
        <f>1/(1+M51)</f>
        <v>0.96153846153846145</v>
      </c>
      <c r="N58" s="43">
        <f>(1-N51*SUM(M58:M58))/(1+N51)</f>
        <v>0.88896952104499272</v>
      </c>
      <c r="O58" s="45"/>
    </row>
    <row r="59" spans="1:15" x14ac:dyDescent="0.3">
      <c r="B59" s="82" t="s">
        <v>21</v>
      </c>
      <c r="C59" s="83">
        <f>SUM(C56:C58)</f>
        <v>-11973.141793516144</v>
      </c>
      <c r="D59" s="81">
        <f>SUM(D56:D58)</f>
        <v>-11973.141793516144</v>
      </c>
      <c r="E59" s="135">
        <f>F50*M58+I50*N58</f>
        <v>14468.432510885381</v>
      </c>
      <c r="F59" s="134"/>
      <c r="G59" s="373"/>
      <c r="H59" s="373"/>
      <c r="I59" s="374"/>
      <c r="J59" s="116"/>
      <c r="K59" s="47"/>
      <c r="L59" s="43"/>
      <c r="M59" s="43">
        <v>1</v>
      </c>
      <c r="N59" s="43">
        <v>2</v>
      </c>
      <c r="O59" s="45"/>
    </row>
    <row r="60" spans="1:15" x14ac:dyDescent="0.3">
      <c r="E60" s="175">
        <f>(F56*M62+I56*N62)</f>
        <v>12080.387214774863</v>
      </c>
      <c r="F60" s="137"/>
      <c r="G60" s="375"/>
      <c r="H60" s="375"/>
      <c r="I60" s="376"/>
      <c r="J60" s="116"/>
      <c r="K60" s="47"/>
      <c r="L60" s="43" t="s">
        <v>11</v>
      </c>
      <c r="M60" s="43">
        <f t="shared" ref="M60:M62" si="4">1/(1+M53)</f>
        <v>0.90909090909090906</v>
      </c>
      <c r="N60" s="43">
        <f>(1-N53*SUM(M60:M60))/(1+N53)</f>
        <v>0.76555023923444965</v>
      </c>
      <c r="O60" s="45"/>
    </row>
    <row r="61" spans="1:15" x14ac:dyDescent="0.3">
      <c r="B61" s="50" t="s">
        <v>104</v>
      </c>
      <c r="C61" s="66">
        <v>1</v>
      </c>
      <c r="D61" s="66">
        <v>2</v>
      </c>
      <c r="K61" s="47"/>
      <c r="L61" s="43"/>
      <c r="M61" s="43">
        <v>1</v>
      </c>
      <c r="N61" s="43">
        <v>2</v>
      </c>
      <c r="O61" s="45"/>
    </row>
    <row r="62" spans="1:15" ht="15" thickBot="1" x14ac:dyDescent="0.35">
      <c r="B62" s="138" t="s">
        <v>107</v>
      </c>
      <c r="C62" s="68">
        <v>19.360504611046053</v>
      </c>
      <c r="D62" s="68">
        <v>-32.02103064066614</v>
      </c>
      <c r="E62" s="67"/>
      <c r="F62" s="176"/>
      <c r="H62" s="51"/>
      <c r="K62" s="69"/>
      <c r="L62" s="70" t="s">
        <v>12</v>
      </c>
      <c r="M62" s="70">
        <f t="shared" si="4"/>
        <v>0.95465393794749398</v>
      </c>
      <c r="N62" s="70">
        <f>(1-N55*SUM(M62:M62))/(1+N55)</f>
        <v>0.87212544331184616</v>
      </c>
      <c r="O62" s="71"/>
    </row>
    <row r="63" spans="1:15" x14ac:dyDescent="0.3">
      <c r="B63" s="50" t="s">
        <v>106</v>
      </c>
      <c r="C63" s="68">
        <v>0.72488697926746681</v>
      </c>
      <c r="D63" s="68">
        <v>-32.02103064066614</v>
      </c>
      <c r="K63" s="43"/>
      <c r="L63" s="43"/>
      <c r="M63" s="43"/>
      <c r="N63" s="43"/>
      <c r="O63" s="43"/>
    </row>
    <row r="64" spans="1:15" x14ac:dyDescent="0.3">
      <c r="B64" s="50" t="s">
        <v>105</v>
      </c>
      <c r="C64" s="68">
        <v>18.635617631778587</v>
      </c>
      <c r="D64" s="68">
        <v>0</v>
      </c>
    </row>
    <row r="65" spans="2:18" x14ac:dyDescent="0.3">
      <c r="M65" s="142"/>
      <c r="N65" s="142"/>
      <c r="O65" s="142"/>
      <c r="P65" s="142"/>
      <c r="Q65" s="142"/>
      <c r="R65" s="142"/>
    </row>
    <row r="66" spans="2:18" x14ac:dyDescent="0.3">
      <c r="B66" s="72" t="s">
        <v>56</v>
      </c>
      <c r="F66" s="46" t="s">
        <v>60</v>
      </c>
      <c r="I66" s="73" t="s">
        <v>61</v>
      </c>
      <c r="M66" s="142"/>
      <c r="N66" s="142"/>
      <c r="O66" s="142"/>
      <c r="P66" s="142"/>
      <c r="Q66" s="142"/>
      <c r="R66" s="142"/>
    </row>
    <row r="67" spans="2:18" x14ac:dyDescent="0.3">
      <c r="B67" s="74" t="s">
        <v>58</v>
      </c>
      <c r="E67" s="50" t="s">
        <v>91</v>
      </c>
      <c r="F67" s="51">
        <f>F26</f>
        <v>0</v>
      </c>
      <c r="I67" s="51">
        <f>I26</f>
        <v>0</v>
      </c>
      <c r="J67" s="51"/>
      <c r="M67" s="143"/>
      <c r="N67" s="128"/>
      <c r="O67" s="128"/>
      <c r="P67" s="129"/>
      <c r="Q67" s="128"/>
      <c r="R67" s="142"/>
    </row>
    <row r="68" spans="2:18" x14ac:dyDescent="0.3">
      <c r="B68" s="74"/>
      <c r="E68" s="50" t="s">
        <v>92</v>
      </c>
      <c r="F68" s="55">
        <f>F27</f>
        <v>13500</v>
      </c>
      <c r="I68" s="55">
        <f>I56-I67-I55</f>
        <v>1673.4693877551581</v>
      </c>
      <c r="J68" s="51"/>
      <c r="M68" s="142"/>
      <c r="N68" s="142"/>
      <c r="O68" s="142"/>
      <c r="P68" s="142"/>
      <c r="Q68" s="142"/>
      <c r="R68" s="142"/>
    </row>
    <row r="69" spans="2:18" x14ac:dyDescent="0.3">
      <c r="B69" s="17" t="s">
        <v>24</v>
      </c>
      <c r="E69" s="50" t="s">
        <v>93</v>
      </c>
      <c r="F69" s="51">
        <f>SUM(F67:F68)</f>
        <v>13500</v>
      </c>
      <c r="G69" s="51"/>
      <c r="H69" s="51"/>
      <c r="I69" s="51">
        <f>SUM(I67:I68)</f>
        <v>1673.4693877551581</v>
      </c>
      <c r="J69" s="51"/>
    </row>
    <row r="70" spans="2:18" ht="15" thickBot="1" x14ac:dyDescent="0.35">
      <c r="E70" s="50" t="s">
        <v>123</v>
      </c>
      <c r="F70" s="139">
        <v>0</v>
      </c>
      <c r="G70" s="51"/>
      <c r="H70" s="51"/>
      <c r="I70" s="139">
        <f>I55</f>
        <v>-2599.3005898011579</v>
      </c>
      <c r="J70" s="51"/>
    </row>
    <row r="71" spans="2:18" ht="15" thickTop="1" x14ac:dyDescent="0.3">
      <c r="E71" s="50" t="s">
        <v>124</v>
      </c>
      <c r="F71" s="51">
        <f>F69+F70</f>
        <v>13500</v>
      </c>
      <c r="G71" s="51"/>
      <c r="H71" s="51"/>
      <c r="I71" s="51">
        <f>I69+I70</f>
        <v>-925.83120204599982</v>
      </c>
      <c r="J71" s="51"/>
    </row>
    <row r="73" spans="2:18" x14ac:dyDescent="0.3">
      <c r="B73" s="50" t="s">
        <v>73</v>
      </c>
      <c r="E73" s="50" t="s">
        <v>51</v>
      </c>
      <c r="F73" s="51">
        <f>'Ertragswertkalkül mit Marge'!F113/2</f>
        <v>0</v>
      </c>
      <c r="G73" s="51"/>
      <c r="H73" s="51"/>
      <c r="I73" s="51">
        <f>'Ertragswertkalkül mit Marge'!I113/2</f>
        <v>0</v>
      </c>
    </row>
    <row r="74" spans="2:18" x14ac:dyDescent="0.3">
      <c r="B74" s="75" t="s">
        <v>72</v>
      </c>
      <c r="D74" s="76"/>
      <c r="E74" s="50" t="s">
        <v>51</v>
      </c>
      <c r="F74" s="51">
        <f>'Ertragswertkalkül mit Marge'!F113/2</f>
        <v>0</v>
      </c>
      <c r="G74" s="51"/>
      <c r="H74" s="51"/>
      <c r="I74" s="51">
        <f>'Ertragswertkalkül mit Marge'!I113/2</f>
        <v>0</v>
      </c>
    </row>
    <row r="75" spans="2:18" x14ac:dyDescent="0.3">
      <c r="B75" s="75" t="s">
        <v>65</v>
      </c>
      <c r="D75" s="76"/>
      <c r="E75" s="50" t="s">
        <v>52</v>
      </c>
      <c r="F75" s="55">
        <f>'Ertragswertkalkül mit Marge'!F120</f>
        <v>0</v>
      </c>
      <c r="I75" s="101">
        <f>-C49*M47</f>
        <v>-1500</v>
      </c>
    </row>
    <row r="76" spans="2:18" x14ac:dyDescent="0.3">
      <c r="B76" s="75" t="s">
        <v>125</v>
      </c>
      <c r="E76" s="50" t="s">
        <v>91</v>
      </c>
      <c r="F76" s="51">
        <f>SUM(F73:F75)</f>
        <v>0</v>
      </c>
      <c r="G76" s="51"/>
      <c r="H76" s="51"/>
      <c r="I76" s="78">
        <f>SUM(I73:I75)</f>
        <v>-1500</v>
      </c>
    </row>
    <row r="77" spans="2:18" x14ac:dyDescent="0.3">
      <c r="B77" s="50"/>
      <c r="E77" s="50" t="s">
        <v>51</v>
      </c>
      <c r="F77" s="51">
        <f>F36</f>
        <v>4000</v>
      </c>
      <c r="G77" s="51"/>
      <c r="H77" s="51"/>
      <c r="I77" s="51">
        <f>I36</f>
        <v>4000</v>
      </c>
    </row>
    <row r="78" spans="2:18" x14ac:dyDescent="0.3">
      <c r="B78" s="50"/>
      <c r="E78" s="50" t="s">
        <v>51</v>
      </c>
      <c r="F78" s="51">
        <f>F37</f>
        <v>4000</v>
      </c>
      <c r="G78" s="51"/>
      <c r="H78" s="51"/>
      <c r="I78" s="51">
        <f>I37</f>
        <v>4000</v>
      </c>
    </row>
    <row r="79" spans="2:18" x14ac:dyDescent="0.3">
      <c r="B79" s="50"/>
      <c r="E79" s="50" t="s">
        <v>52</v>
      </c>
      <c r="F79" s="51">
        <f>F38</f>
        <v>-4000</v>
      </c>
      <c r="G79" s="51"/>
      <c r="H79" s="51"/>
      <c r="I79" s="77">
        <f>-C49*M51</f>
        <v>-8000</v>
      </c>
    </row>
    <row r="80" spans="2:18" ht="15" thickBot="1" x14ac:dyDescent="0.35">
      <c r="B80" s="50"/>
      <c r="E80" s="102" t="s">
        <v>92</v>
      </c>
      <c r="F80" s="103">
        <f>SUM(F77:F79)</f>
        <v>4000</v>
      </c>
      <c r="G80" s="51"/>
      <c r="H80" s="51"/>
      <c r="I80" s="104">
        <f>SUM(I77:I79)</f>
        <v>0</v>
      </c>
    </row>
    <row r="81" spans="1:25" ht="16.2" thickTop="1" x14ac:dyDescent="0.3">
      <c r="B81" s="17" t="s">
        <v>24</v>
      </c>
      <c r="E81" s="7" t="s">
        <v>95</v>
      </c>
      <c r="F81" s="51">
        <f>F80+F76</f>
        <v>4000</v>
      </c>
      <c r="I81" s="51">
        <f>I80+I76</f>
        <v>-1500</v>
      </c>
    </row>
    <row r="82" spans="1:25" x14ac:dyDescent="0.3">
      <c r="B82" s="75"/>
    </row>
    <row r="83" spans="1:25" s="5" customFormat="1" x14ac:dyDescent="0.3">
      <c r="A83" s="86" t="s">
        <v>112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</row>
    <row r="85" spans="1:25" x14ac:dyDescent="0.3">
      <c r="B85" s="17" t="s">
        <v>66</v>
      </c>
    </row>
    <row r="86" spans="1:25" x14ac:dyDescent="0.3">
      <c r="E86" s="88" t="s">
        <v>96</v>
      </c>
    </row>
    <row r="87" spans="1:25" ht="15" thickBot="1" x14ac:dyDescent="0.35">
      <c r="B87" s="97" t="s">
        <v>67</v>
      </c>
      <c r="C87" s="144">
        <f>D59</f>
        <v>-11973.141793516144</v>
      </c>
      <c r="E87" s="17" t="s">
        <v>25</v>
      </c>
      <c r="F87" s="85">
        <f>F69-F56</f>
        <v>0</v>
      </c>
      <c r="I87" s="84">
        <f>I71-I30</f>
        <v>-5115.0895140664961</v>
      </c>
      <c r="J87" s="17" t="s">
        <v>113</v>
      </c>
    </row>
    <row r="88" spans="1:25" ht="15" thickTop="1" x14ac:dyDescent="0.3">
      <c r="B88" s="145" t="s">
        <v>108</v>
      </c>
      <c r="C88" s="146">
        <v>-3134.5269831116602</v>
      </c>
      <c r="J88" s="147">
        <f>I69-I28</f>
        <v>-4081.6326530612278</v>
      </c>
      <c r="K88" s="17" t="s">
        <v>115</v>
      </c>
    </row>
    <row r="89" spans="1:25" x14ac:dyDescent="0.3">
      <c r="B89" s="145" t="s">
        <v>109</v>
      </c>
      <c r="C89" s="146">
        <v>-10317.460317460325</v>
      </c>
      <c r="J89" s="147">
        <f>I70-I29</f>
        <v>-1033.4568610052684</v>
      </c>
      <c r="K89" s="17" t="s">
        <v>114</v>
      </c>
    </row>
    <row r="90" spans="1:25" x14ac:dyDescent="0.3">
      <c r="B90" s="145" t="s">
        <v>110</v>
      </c>
      <c r="C90" s="146">
        <v>973.23600973238354</v>
      </c>
    </row>
    <row r="91" spans="1:25" x14ac:dyDescent="0.3">
      <c r="B91" s="148" t="s">
        <v>111</v>
      </c>
      <c r="C91" s="149">
        <f>C87-SUM(C88:C90)</f>
        <v>505.60949732345762</v>
      </c>
      <c r="E91" s="90" t="s">
        <v>73</v>
      </c>
    </row>
    <row r="92" spans="1:25" ht="15" thickBot="1" x14ac:dyDescent="0.35">
      <c r="E92" s="17" t="s">
        <v>25</v>
      </c>
      <c r="F92" s="85">
        <f>F81-F40</f>
        <v>0</v>
      </c>
      <c r="I92" s="150">
        <f>I81-I40</f>
        <v>-5500</v>
      </c>
      <c r="J92" s="17" t="s">
        <v>113</v>
      </c>
    </row>
    <row r="93" spans="1:25" ht="15" thickTop="1" x14ac:dyDescent="0.3">
      <c r="E93" s="75" t="s">
        <v>72</v>
      </c>
      <c r="J93" s="78">
        <f>I80-I39</f>
        <v>-4000</v>
      </c>
      <c r="K93" s="17" t="s">
        <v>115</v>
      </c>
    </row>
    <row r="94" spans="1:25" x14ac:dyDescent="0.3">
      <c r="E94" s="75" t="s">
        <v>65</v>
      </c>
      <c r="J94" s="78">
        <f>I75-I34</f>
        <v>-1500</v>
      </c>
      <c r="K94" s="17" t="s">
        <v>114</v>
      </c>
    </row>
    <row r="95" spans="1:25" x14ac:dyDescent="0.3">
      <c r="E95" s="75" t="s">
        <v>125</v>
      </c>
    </row>
    <row r="97" spans="1:25" s="1" customFormat="1" x14ac:dyDescent="0.3">
      <c r="A97" s="92" t="s">
        <v>178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</row>
    <row r="98" spans="1:25" ht="15" thickBot="1" x14ac:dyDescent="0.35"/>
    <row r="99" spans="1:25" x14ac:dyDescent="0.3">
      <c r="K99" s="39"/>
      <c r="L99" s="40" t="s">
        <v>44</v>
      </c>
      <c r="M99" s="41">
        <v>1</v>
      </c>
      <c r="N99" s="41">
        <v>2</v>
      </c>
      <c r="O99" s="42"/>
      <c r="P99" s="371" t="s">
        <v>181</v>
      </c>
      <c r="Q99" s="367"/>
      <c r="R99" s="372"/>
      <c r="S99" s="39"/>
      <c r="T99" s="40" t="s">
        <v>44</v>
      </c>
      <c r="U99" s="41">
        <v>1</v>
      </c>
      <c r="V99" s="41">
        <v>2</v>
      </c>
      <c r="W99" s="42"/>
    </row>
    <row r="100" spans="1:25" x14ac:dyDescent="0.3">
      <c r="A100" s="17" t="s">
        <v>0</v>
      </c>
      <c r="B100" s="17" t="s">
        <v>13</v>
      </c>
      <c r="C100" s="94" t="s">
        <v>2</v>
      </c>
      <c r="D100" s="94"/>
      <c r="E100" s="94"/>
      <c r="F100" s="94" t="s">
        <v>3</v>
      </c>
      <c r="G100" s="94"/>
      <c r="H100" s="94"/>
      <c r="I100" s="94" t="s">
        <v>4</v>
      </c>
      <c r="K100" s="365" t="s">
        <v>2</v>
      </c>
      <c r="L100" s="43" t="s">
        <v>49</v>
      </c>
      <c r="M100" s="44">
        <f t="shared" ref="M100:N102" si="5">M5</f>
        <v>0.02</v>
      </c>
      <c r="N100" s="44">
        <f t="shared" si="5"/>
        <v>0.04</v>
      </c>
      <c r="O100" s="45"/>
      <c r="S100" s="365" t="s">
        <v>2</v>
      </c>
      <c r="T100" s="43" t="s">
        <v>49</v>
      </c>
      <c r="U100" s="44">
        <f>M100</f>
        <v>0.02</v>
      </c>
      <c r="V100" s="44">
        <f>N100</f>
        <v>0.04</v>
      </c>
      <c r="W100" s="45"/>
    </row>
    <row r="101" spans="1:25" x14ac:dyDescent="0.3">
      <c r="A101" s="17" t="s">
        <v>51</v>
      </c>
      <c r="C101" s="51">
        <f>C7</f>
        <v>-100000</v>
      </c>
      <c r="D101" s="51"/>
      <c r="E101" s="51"/>
      <c r="F101" s="51">
        <f>F7</f>
        <v>9000</v>
      </c>
      <c r="G101" s="51"/>
      <c r="H101" s="51"/>
      <c r="I101" s="51">
        <f>I7</f>
        <v>109000.00000000001</v>
      </c>
      <c r="K101" s="365"/>
      <c r="L101" s="43" t="s">
        <v>45</v>
      </c>
      <c r="M101" s="44">
        <f t="shared" si="5"/>
        <v>0.03</v>
      </c>
      <c r="N101" s="44">
        <f t="shared" si="5"/>
        <v>0.05</v>
      </c>
      <c r="O101" s="45"/>
      <c r="P101" s="51">
        <f>F101*M115+I101*N115</f>
        <v>100000</v>
      </c>
      <c r="Q101" s="51"/>
      <c r="R101" s="51">
        <f>F101*U115+I101*V115</f>
        <v>99982.090723254092</v>
      </c>
      <c r="S101" s="365"/>
      <c r="T101" s="43" t="s">
        <v>45</v>
      </c>
      <c r="U101" s="44">
        <f t="shared" ref="U101:U102" si="6">M101</f>
        <v>0.03</v>
      </c>
      <c r="V101" s="44">
        <f t="shared" ref="V101:V102" si="7">N101</f>
        <v>0.05</v>
      </c>
      <c r="W101" s="45"/>
    </row>
    <row r="102" spans="1:25" x14ac:dyDescent="0.3">
      <c r="A102" s="17" t="s">
        <v>51</v>
      </c>
      <c r="C102" s="51">
        <f>C8</f>
        <v>-100000</v>
      </c>
      <c r="D102" s="51"/>
      <c r="E102" s="51"/>
      <c r="F102" s="51">
        <f>F8</f>
        <v>9000</v>
      </c>
      <c r="G102" s="51"/>
      <c r="H102" s="51"/>
      <c r="I102" s="51">
        <f>I8</f>
        <v>109000.00000000001</v>
      </c>
      <c r="K102" s="365"/>
      <c r="L102" s="43" t="s">
        <v>46</v>
      </c>
      <c r="M102" s="44">
        <f t="shared" si="5"/>
        <v>2.5000000000000001E-3</v>
      </c>
      <c r="N102" s="44">
        <f t="shared" si="5"/>
        <v>5.0000000000000001E-3</v>
      </c>
      <c r="O102" s="45"/>
      <c r="P102" s="51">
        <f>F102*M115+I102*N115</f>
        <v>100000</v>
      </c>
      <c r="Q102" s="51"/>
      <c r="R102" s="51">
        <f>F102*U115+I102*V115</f>
        <v>99982.090723254092</v>
      </c>
      <c r="S102" s="365"/>
      <c r="T102" s="43" t="s">
        <v>46</v>
      </c>
      <c r="U102" s="44">
        <f t="shared" si="6"/>
        <v>2.5000000000000001E-3</v>
      </c>
      <c r="V102" s="44">
        <f t="shared" si="7"/>
        <v>5.0000000000000001E-3</v>
      </c>
      <c r="W102" s="45"/>
    </row>
    <row r="103" spans="1:25" x14ac:dyDescent="0.3">
      <c r="A103" s="46" t="s">
        <v>52</v>
      </c>
      <c r="C103" s="55">
        <f>C9</f>
        <v>200000</v>
      </c>
      <c r="D103" s="51"/>
      <c r="E103" s="51"/>
      <c r="F103" s="55">
        <f>F9</f>
        <v>-204500</v>
      </c>
      <c r="G103" s="51"/>
      <c r="H103" s="51"/>
      <c r="I103" s="55">
        <f>I9</f>
        <v>0</v>
      </c>
      <c r="K103" s="365"/>
      <c r="L103" s="43"/>
      <c r="M103" s="43"/>
      <c r="N103" s="43"/>
      <c r="O103" s="45"/>
      <c r="P103" s="151">
        <f>F103*M117+I103*N117</f>
        <v>-200000</v>
      </c>
      <c r="Q103" s="55"/>
      <c r="R103" s="152">
        <f>F103*U117+I103*V117</f>
        <v>-199980.44201056132</v>
      </c>
      <c r="S103" s="365"/>
      <c r="T103" s="43"/>
      <c r="U103" s="43"/>
      <c r="V103" s="43"/>
      <c r="W103" s="45"/>
    </row>
    <row r="104" spans="1:25" x14ac:dyDescent="0.3">
      <c r="A104" s="48" t="s">
        <v>26</v>
      </c>
      <c r="B104" s="48"/>
      <c r="C104" s="51"/>
      <c r="D104" s="51"/>
      <c r="E104" s="51"/>
      <c r="F104" s="51"/>
      <c r="G104" s="51"/>
      <c r="H104" s="51"/>
      <c r="I104" s="51"/>
      <c r="K104" s="47"/>
      <c r="L104" s="43"/>
      <c r="M104" s="43"/>
      <c r="N104" s="43"/>
      <c r="O104" s="45"/>
      <c r="P104" s="51">
        <f>SUM(P101:P103)</f>
        <v>0</v>
      </c>
      <c r="Q104" s="51"/>
      <c r="R104" s="51">
        <f>SUM(R101:R103)</f>
        <v>-16.260564053140115</v>
      </c>
      <c r="S104" s="47"/>
      <c r="T104" s="43"/>
      <c r="U104" s="43"/>
      <c r="V104" s="43"/>
      <c r="W104" s="45"/>
    </row>
    <row r="105" spans="1:25" x14ac:dyDescent="0.3">
      <c r="B105" s="50" t="s">
        <v>82</v>
      </c>
      <c r="C105" s="51"/>
      <c r="D105" s="51"/>
      <c r="E105" s="51"/>
      <c r="F105" s="51">
        <f>F101+F102+F103+C103</f>
        <v>13500</v>
      </c>
      <c r="G105" s="51"/>
      <c r="H105" s="51"/>
      <c r="I105" s="51">
        <f>I101+C101+I102+C102</f>
        <v>18000.000000000029</v>
      </c>
      <c r="K105" s="47"/>
      <c r="L105" s="43"/>
      <c r="M105" s="43">
        <f t="shared" ref="M105:N110" si="8">M10</f>
        <v>1</v>
      </c>
      <c r="N105" s="43">
        <f t="shared" si="8"/>
        <v>2</v>
      </c>
      <c r="O105" s="45"/>
      <c r="P105" s="368" t="s">
        <v>185</v>
      </c>
      <c r="Q105" s="369"/>
      <c r="R105" s="370"/>
      <c r="S105" s="47"/>
      <c r="T105" s="43"/>
      <c r="U105" s="43">
        <f t="shared" ref="U105:U109" si="9">M105</f>
        <v>1</v>
      </c>
      <c r="V105" s="43">
        <f t="shared" ref="V105:V109" si="10">N105</f>
        <v>2</v>
      </c>
      <c r="W105" s="45"/>
    </row>
    <row r="106" spans="1:25" x14ac:dyDescent="0.3">
      <c r="B106" s="50" t="s">
        <v>78</v>
      </c>
      <c r="C106" s="55">
        <f>SUM(C101:C103)</f>
        <v>0</v>
      </c>
      <c r="D106" s="51"/>
      <c r="E106" s="51"/>
      <c r="F106" s="55">
        <f>-C103</f>
        <v>-200000</v>
      </c>
      <c r="G106" s="51"/>
      <c r="H106" s="51"/>
      <c r="I106" s="55">
        <f>-C101+-C102</f>
        <v>200000</v>
      </c>
      <c r="K106" s="47" t="s">
        <v>43</v>
      </c>
      <c r="L106" s="43" t="s">
        <v>7</v>
      </c>
      <c r="M106" s="44">
        <f t="shared" si="8"/>
        <v>0.02</v>
      </c>
      <c r="N106" s="44">
        <f t="shared" si="8"/>
        <v>0.04</v>
      </c>
      <c r="O106" s="45"/>
      <c r="P106" s="51"/>
      <c r="Q106" s="51" t="s">
        <v>182</v>
      </c>
      <c r="R106" s="51"/>
      <c r="S106" s="47" t="s">
        <v>43</v>
      </c>
      <c r="T106" s="43" t="s">
        <v>7</v>
      </c>
      <c r="U106" s="44">
        <f>U100+X106</f>
        <v>2.01E-2</v>
      </c>
      <c r="V106" s="44">
        <f>V100+Y106</f>
        <v>4.0100000000000004E-2</v>
      </c>
      <c r="W106" s="45"/>
      <c r="X106" s="49">
        <v>1E-4</v>
      </c>
      <c r="Y106" s="49">
        <v>1E-4</v>
      </c>
    </row>
    <row r="107" spans="1:25" x14ac:dyDescent="0.3">
      <c r="B107" s="95" t="s">
        <v>79</v>
      </c>
      <c r="C107" s="96">
        <f>SUM(C105:C106)</f>
        <v>0</v>
      </c>
      <c r="D107" s="96"/>
      <c r="E107" s="96"/>
      <c r="F107" s="96">
        <f>SUM(F105:F106)</f>
        <v>-186500</v>
      </c>
      <c r="G107" s="96"/>
      <c r="H107" s="96"/>
      <c r="I107" s="96">
        <f>SUM(I105:I106)</f>
        <v>218000.00000000003</v>
      </c>
      <c r="K107" s="47"/>
      <c r="L107" s="43"/>
      <c r="M107" s="43">
        <f t="shared" si="8"/>
        <v>1</v>
      </c>
      <c r="N107" s="43">
        <f t="shared" si="8"/>
        <v>2</v>
      </c>
      <c r="O107" s="45"/>
      <c r="P107" s="51"/>
      <c r="Q107" s="51">
        <f>R104-P104</f>
        <v>-16.260564053140115</v>
      </c>
      <c r="R107" s="51"/>
      <c r="S107" s="47"/>
      <c r="T107" s="43"/>
      <c r="U107" s="43">
        <f t="shared" si="9"/>
        <v>1</v>
      </c>
      <c r="V107" s="43">
        <f t="shared" si="10"/>
        <v>2</v>
      </c>
      <c r="W107" s="45"/>
    </row>
    <row r="108" spans="1:25" x14ac:dyDescent="0.3">
      <c r="K108" s="47"/>
      <c r="L108" s="43" t="s">
        <v>11</v>
      </c>
      <c r="M108" s="44">
        <f>M13</f>
        <v>0.05</v>
      </c>
      <c r="N108" s="44">
        <f t="shared" si="8"/>
        <v>0.09</v>
      </c>
      <c r="O108" s="45"/>
      <c r="P108" s="51"/>
      <c r="Q108" s="51"/>
      <c r="R108" s="51"/>
      <c r="S108" s="47"/>
      <c r="T108" s="43" t="s">
        <v>11</v>
      </c>
      <c r="U108" s="44">
        <f>U106+U101</f>
        <v>5.0099999999999999E-2</v>
      </c>
      <c r="V108" s="44">
        <f>V106+V101</f>
        <v>9.0100000000000013E-2</v>
      </c>
      <c r="W108" s="45"/>
      <c r="X108" s="201"/>
    </row>
    <row r="109" spans="1:25" x14ac:dyDescent="0.3">
      <c r="A109" t="s">
        <v>180</v>
      </c>
      <c r="B109"/>
      <c r="C109"/>
      <c r="D109"/>
      <c r="E109"/>
      <c r="F109"/>
      <c r="G109"/>
      <c r="H109"/>
      <c r="I109"/>
      <c r="K109" s="47"/>
      <c r="L109" s="43"/>
      <c r="M109" s="43">
        <f t="shared" si="8"/>
        <v>1</v>
      </c>
      <c r="N109" s="43">
        <f t="shared" si="8"/>
        <v>2</v>
      </c>
      <c r="O109" s="45"/>
      <c r="P109" s="51"/>
      <c r="Q109" s="51"/>
      <c r="R109" s="51"/>
      <c r="S109" s="47"/>
      <c r="T109" s="43"/>
      <c r="U109" s="43">
        <f t="shared" si="9"/>
        <v>1</v>
      </c>
      <c r="V109" s="43">
        <f t="shared" si="10"/>
        <v>2</v>
      </c>
      <c r="W109" s="45"/>
    </row>
    <row r="110" spans="1:25" x14ac:dyDescent="0.3">
      <c r="A110" s="260" t="s">
        <v>333</v>
      </c>
      <c r="B110"/>
      <c r="C110" s="309">
        <v>188127.42741752099</v>
      </c>
      <c r="D110" s="310"/>
      <c r="E110" s="310"/>
      <c r="F110" s="310">
        <f>-C110*N106</f>
        <v>-7525.0970967008398</v>
      </c>
      <c r="G110" s="310"/>
      <c r="H110" s="310"/>
      <c r="I110" s="311">
        <f>-C110*(1+N106)</f>
        <v>-195652.52451422182</v>
      </c>
      <c r="K110" s="47"/>
      <c r="L110" s="43" t="s">
        <v>12</v>
      </c>
      <c r="M110" s="44">
        <f t="shared" si="8"/>
        <v>2.2499999999999999E-2</v>
      </c>
      <c r="N110" s="44">
        <f t="shared" si="8"/>
        <v>4.4999999999999998E-2</v>
      </c>
      <c r="O110" s="45"/>
      <c r="P110" s="51"/>
      <c r="Q110" s="51"/>
      <c r="R110" s="51"/>
      <c r="S110" s="47"/>
      <c r="T110" s="43" t="s">
        <v>12</v>
      </c>
      <c r="U110" s="44">
        <f>U106+U102</f>
        <v>2.2599999999999999E-2</v>
      </c>
      <c r="V110" s="44">
        <f>V106+V102</f>
        <v>4.5100000000000001E-2</v>
      </c>
      <c r="W110" s="45"/>
    </row>
    <row r="111" spans="1:25" x14ac:dyDescent="0.3">
      <c r="A111" s="260" t="s">
        <v>334</v>
      </c>
      <c r="B111"/>
      <c r="C111" s="310">
        <f>-C110</f>
        <v>-188127.42741752099</v>
      </c>
      <c r="D111" t="str">
        <f>TEXT(-ROUND(C111,2),"#.##0,00")&amp;" *floatingRate"</f>
        <v>188.127,43 *floatingRate</v>
      </c>
      <c r="E111" s="310"/>
      <c r="F111"/>
      <c r="G111" s="310"/>
      <c r="H111" s="310"/>
      <c r="I111" s="310"/>
      <c r="K111" s="47"/>
      <c r="L111" s="43"/>
      <c r="M111" s="43"/>
      <c r="N111" s="43"/>
      <c r="O111" s="45"/>
      <c r="P111" s="51"/>
      <c r="Q111" s="51"/>
      <c r="R111" s="51"/>
      <c r="S111" s="47"/>
      <c r="T111" s="43"/>
      <c r="U111" s="43"/>
      <c r="V111" s="43"/>
      <c r="W111" s="45"/>
    </row>
    <row r="112" spans="1:25" x14ac:dyDescent="0.3">
      <c r="A112" s="260" t="s">
        <v>335</v>
      </c>
      <c r="B112"/>
      <c r="C112" s="309">
        <v>-199515.73849879325</v>
      </c>
      <c r="D112"/>
      <c r="E112"/>
      <c r="F112" s="310">
        <f>-C112*(1+M106)</f>
        <v>203506.05326876912</v>
      </c>
      <c r="G112"/>
      <c r="H112"/>
      <c r="I112"/>
      <c r="K112" s="47"/>
      <c r="L112" s="43"/>
      <c r="M112" s="43">
        <f t="shared" ref="M112:N117" si="11">M17</f>
        <v>1</v>
      </c>
      <c r="N112" s="43">
        <f t="shared" si="11"/>
        <v>2</v>
      </c>
      <c r="O112" s="45"/>
      <c r="P112" s="151">
        <f>SUM(F110:F111)*M113+SUM(I110:I111)*N113-(SUM(F110:F111)*M113+SUM(I110:I111)*N113)</f>
        <v>0</v>
      </c>
      <c r="Q112" s="55"/>
      <c r="R112" s="152">
        <f>SUM(F110:F112)*U113+SUM(I110:I111)*V113-(SUM(F110:F112)*M113+SUM(I110:I111)*N113)</f>
        <v>16.260030092904344</v>
      </c>
      <c r="S112" s="47"/>
      <c r="T112" s="43"/>
      <c r="U112" s="43">
        <f t="shared" ref="U112:V112" si="12">M112</f>
        <v>1</v>
      </c>
      <c r="V112" s="43">
        <f t="shared" si="12"/>
        <v>2</v>
      </c>
      <c r="W112" s="45"/>
    </row>
    <row r="113" spans="1:23" ht="15" thickBot="1" x14ac:dyDescent="0.35">
      <c r="A113" s="260" t="s">
        <v>336</v>
      </c>
      <c r="B113"/>
      <c r="C113" s="312">
        <f>-C112</f>
        <v>199515.73849879325</v>
      </c>
      <c r="D113" s="313" t="str">
        <f>TEXT(-ROUND(C113,2),"#.##0,00")&amp;" *floatingRate"</f>
        <v>-199.515,74 *floatingRate</v>
      </c>
      <c r="E113"/>
      <c r="F113" s="313"/>
      <c r="G113"/>
      <c r="H113"/>
      <c r="I113" s="313"/>
      <c r="K113" s="47" t="s">
        <v>42</v>
      </c>
      <c r="L113" s="43" t="s">
        <v>7</v>
      </c>
      <c r="M113" s="43">
        <f t="shared" si="11"/>
        <v>0.98039215686274506</v>
      </c>
      <c r="N113" s="43">
        <f t="shared" si="11"/>
        <v>0.92383107088989447</v>
      </c>
      <c r="O113" s="45"/>
      <c r="P113" s="371" t="s">
        <v>186</v>
      </c>
      <c r="Q113" s="367"/>
      <c r="R113" s="372"/>
      <c r="S113" s="47" t="s">
        <v>42</v>
      </c>
      <c r="T113" s="43" t="s">
        <v>7</v>
      </c>
      <c r="U113" s="43">
        <f>1/(1+U106)</f>
        <v>0.98029604940692083</v>
      </c>
      <c r="V113" s="43">
        <f>(1-V106*SUM(U113:U113))/(1+V106)</f>
        <v>0.9236516954319608</v>
      </c>
      <c r="W113" s="45"/>
    </row>
    <row r="114" spans="1:23" ht="15.6" thickTop="1" thickBot="1" x14ac:dyDescent="0.35">
      <c r="A114"/>
      <c r="B114" s="4" t="s">
        <v>337</v>
      </c>
      <c r="C114" s="261">
        <f>SUM(C110:C113,C107)</f>
        <v>0</v>
      </c>
      <c r="D114" s="313" t="str">
        <f>TEXT(-ROUND(C111+C113,2),"#.##0,00")&amp;" *floatingRate"</f>
        <v>-11.388,31 *floatingRate</v>
      </c>
      <c r="E114"/>
      <c r="F114" s="261">
        <f>SUM(F110:F113,F107)</f>
        <v>9480.9561720682832</v>
      </c>
      <c r="G114"/>
      <c r="H114"/>
      <c r="I114" s="261">
        <f>SUM(I110:I113,I107)</f>
        <v>22347.47548577821</v>
      </c>
      <c r="K114" s="47"/>
      <c r="L114" s="43"/>
      <c r="M114" s="43">
        <f t="shared" si="11"/>
        <v>1</v>
      </c>
      <c r="N114" s="43">
        <f t="shared" si="11"/>
        <v>2</v>
      </c>
      <c r="O114" s="45"/>
      <c r="Q114" s="17" t="s">
        <v>182</v>
      </c>
      <c r="S114" s="47"/>
      <c r="T114" s="43"/>
      <c r="U114" s="43">
        <v>1</v>
      </c>
      <c r="V114" s="43">
        <v>2</v>
      </c>
      <c r="W114" s="45"/>
    </row>
    <row r="115" spans="1:23" ht="15" thickTop="1" x14ac:dyDescent="0.3">
      <c r="A115"/>
      <c r="B115"/>
      <c r="C115"/>
      <c r="D115"/>
      <c r="E115"/>
      <c r="F115"/>
      <c r="G115"/>
      <c r="H115"/>
      <c r="I115"/>
      <c r="K115" s="47"/>
      <c r="L115" s="43" t="s">
        <v>11</v>
      </c>
      <c r="M115" s="43">
        <f t="shared" si="11"/>
        <v>0.95238095238095233</v>
      </c>
      <c r="N115" s="43">
        <f t="shared" si="11"/>
        <v>0.83879423328964609</v>
      </c>
      <c r="O115" s="45"/>
      <c r="Q115" s="51">
        <f>R112-P112</f>
        <v>16.260030092904344</v>
      </c>
      <c r="S115" s="47"/>
      <c r="T115" s="43" t="s">
        <v>11</v>
      </c>
      <c r="U115" s="43">
        <f t="shared" ref="U115:U117" si="13">1/(1+U108)</f>
        <v>0.95229025807065992</v>
      </c>
      <c r="V115" s="43">
        <f>(1-V108*SUM(U115:U115))/(1+V108)</f>
        <v>0.83863741651943258</v>
      </c>
      <c r="W115" s="45"/>
    </row>
    <row r="116" spans="1:23" x14ac:dyDescent="0.3">
      <c r="A116"/>
      <c r="B116"/>
      <c r="C116" s="377" t="s">
        <v>338</v>
      </c>
      <c r="D116" s="377"/>
      <c r="E116"/>
      <c r="F116" t="s">
        <v>3</v>
      </c>
      <c r="G116"/>
      <c r="H116"/>
      <c r="I116" t="s">
        <v>4</v>
      </c>
      <c r="K116" s="47"/>
      <c r="L116" s="43"/>
      <c r="M116" s="43">
        <f t="shared" si="11"/>
        <v>1</v>
      </c>
      <c r="N116" s="43">
        <f t="shared" si="11"/>
        <v>2</v>
      </c>
      <c r="O116" s="45"/>
      <c r="S116" s="47"/>
      <c r="T116" s="43"/>
      <c r="U116" s="43">
        <v>1</v>
      </c>
      <c r="V116" s="43">
        <v>2</v>
      </c>
      <c r="W116" s="45"/>
    </row>
    <row r="117" spans="1:23" ht="15" thickBot="1" x14ac:dyDescent="0.35">
      <c r="A117" t="s">
        <v>339</v>
      </c>
      <c r="B117"/>
      <c r="C117" s="312">
        <f>C114</f>
        <v>0</v>
      </c>
      <c r="D117" s="313" t="str">
        <f>D119</f>
        <v>-11.388,31 *floatingRate</v>
      </c>
      <c r="E117"/>
      <c r="F117" s="312">
        <f>SUM(F118:F119)</f>
        <v>9480.9561720682832</v>
      </c>
      <c r="G117"/>
      <c r="H117"/>
      <c r="I117" s="312">
        <f>SUM(I118:I119)</f>
        <v>22347.47548577821</v>
      </c>
      <c r="K117" s="69"/>
      <c r="L117" s="70" t="s">
        <v>12</v>
      </c>
      <c r="M117" s="70">
        <f t="shared" si="11"/>
        <v>0.97799511002444994</v>
      </c>
      <c r="N117" s="70">
        <f t="shared" si="11"/>
        <v>0.91482317708028693</v>
      </c>
      <c r="O117" s="71"/>
      <c r="S117" s="69"/>
      <c r="T117" s="70" t="s">
        <v>12</v>
      </c>
      <c r="U117" s="70">
        <f t="shared" si="13"/>
        <v>0.97789947193428517</v>
      </c>
      <c r="V117" s="70">
        <f>(1-V110*SUM(U117:U117))/(1+V110)</f>
        <v>0.91464619061885355</v>
      </c>
      <c r="W117" s="71"/>
    </row>
    <row r="118" spans="1:23" ht="15" thickTop="1" x14ac:dyDescent="0.3">
      <c r="A118"/>
      <c r="B118" t="s">
        <v>361</v>
      </c>
      <c r="C118" s="310">
        <f>C110+C112</f>
        <v>-11388.311081272259</v>
      </c>
      <c r="D118"/>
      <c r="E118" s="310"/>
      <c r="F118" s="310">
        <f>SUM(F107:F112)</f>
        <v>9480.9561720682832</v>
      </c>
      <c r="G118" s="310"/>
      <c r="H118" s="310"/>
      <c r="I118" s="310">
        <f>SUM(I107:I111)</f>
        <v>22347.47548577821</v>
      </c>
      <c r="Q118" s="17" t="s">
        <v>183</v>
      </c>
    </row>
    <row r="119" spans="1:23" x14ac:dyDescent="0.3">
      <c r="A119"/>
      <c r="B119" t="s">
        <v>341</v>
      </c>
      <c r="C119" s="310">
        <f>C111+C113</f>
        <v>11388.311081272259</v>
      </c>
      <c r="D119" t="str">
        <f>TEXT(-ROUND(C119,2),"#.##0,00")&amp;" *floatingRate"</f>
        <v>-11.388,31 *floatingRate</v>
      </c>
      <c r="E119"/>
      <c r="F119"/>
      <c r="G119"/>
      <c r="H119"/>
      <c r="I119"/>
      <c r="Q119" s="84">
        <f>Q107+Q115</f>
        <v>-5.3396023577079177E-4</v>
      </c>
    </row>
    <row r="120" spans="1:23" x14ac:dyDescent="0.3">
      <c r="A120"/>
      <c r="B120" s="4"/>
      <c r="C120" s="310"/>
      <c r="D120"/>
      <c r="E120" s="310"/>
      <c r="F120" s="310"/>
      <c r="G120" s="310"/>
      <c r="H120" s="310"/>
      <c r="I120" s="310"/>
      <c r="S120" s="378" t="s">
        <v>332</v>
      </c>
      <c r="T120" s="378"/>
      <c r="U120" s="378"/>
    </row>
    <row r="121" spans="1:23" x14ac:dyDescent="0.3">
      <c r="A121"/>
      <c r="B121" s="4" t="s">
        <v>342</v>
      </c>
      <c r="C121" s="314">
        <v>0</v>
      </c>
      <c r="D121"/>
      <c r="E121" s="310"/>
      <c r="F121" s="262">
        <f>F105+F110+F112+C112</f>
        <v>9965.2176732750377</v>
      </c>
      <c r="G121" s="310"/>
      <c r="H121" s="310"/>
      <c r="I121" s="262">
        <f>I105+F110</f>
        <v>10474.902903299189</v>
      </c>
      <c r="S121" s="378"/>
      <c r="T121" s="378"/>
      <c r="U121" s="378"/>
    </row>
    <row r="122" spans="1:23" x14ac:dyDescent="0.3">
      <c r="A122"/>
      <c r="B122" s="4" t="s">
        <v>343</v>
      </c>
      <c r="C122" s="310" t="str">
        <f>TEXT(-ROUND(C119,2),"#.##0,00")&amp;" *floatingRate"</f>
        <v>-11.388,31 *floatingRate</v>
      </c>
      <c r="D122"/>
      <c r="E122"/>
      <c r="F122"/>
      <c r="G122"/>
      <c r="H122"/>
      <c r="I122"/>
      <c r="O122" s="58" t="s">
        <v>98</v>
      </c>
      <c r="P122" s="65">
        <f>P104+P112</f>
        <v>0</v>
      </c>
      <c r="Q122" s="135"/>
    </row>
    <row r="123" spans="1:23" x14ac:dyDescent="0.3">
      <c r="A123"/>
      <c r="B123"/>
      <c r="C123"/>
      <c r="D123"/>
      <c r="E123"/>
      <c r="F123" s="310"/>
      <c r="G123"/>
      <c r="H123"/>
      <c r="I123"/>
      <c r="Q123" s="136"/>
    </row>
    <row r="124" spans="1:23" x14ac:dyDescent="0.3">
      <c r="A124"/>
      <c r="B124" t="s">
        <v>81</v>
      </c>
      <c r="C124"/>
      <c r="D124"/>
      <c r="E124"/>
      <c r="F124"/>
      <c r="G124"/>
      <c r="H124"/>
      <c r="I124"/>
      <c r="O124" s="50" t="s">
        <v>104</v>
      </c>
      <c r="P124" s="66">
        <v>1</v>
      </c>
      <c r="Q124" s="66">
        <v>2</v>
      </c>
    </row>
    <row r="125" spans="1:23" x14ac:dyDescent="0.3">
      <c r="A125"/>
      <c r="B125" s="4" t="s">
        <v>83</v>
      </c>
      <c r="C125"/>
      <c r="D125"/>
      <c r="E125"/>
      <c r="F125" s="310">
        <f>-SUM(C101:C102)*(0.09-0.04)</f>
        <v>10000</v>
      </c>
      <c r="G125" s="310"/>
      <c r="H125" s="310"/>
      <c r="I125" s="310">
        <f>-SUM(C101:C102)*(0.09-0.04)</f>
        <v>10000</v>
      </c>
      <c r="O125" s="138" t="s">
        <v>107</v>
      </c>
      <c r="P125" s="68">
        <v>0</v>
      </c>
      <c r="Q125" s="68">
        <v>0</v>
      </c>
    </row>
    <row r="126" spans="1:23" x14ac:dyDescent="0.3">
      <c r="A126"/>
      <c r="B126" s="4" t="s">
        <v>84</v>
      </c>
      <c r="C126"/>
      <c r="D126"/>
      <c r="E126"/>
      <c r="F126" s="310">
        <f>-SUM(C101:C102)*(0.04)</f>
        <v>8000</v>
      </c>
      <c r="G126" s="310"/>
      <c r="H126" s="310"/>
      <c r="I126" s="310">
        <f>-SUM(C101:C102)*(0.04)</f>
        <v>8000</v>
      </c>
      <c r="O126" s="50" t="s">
        <v>106</v>
      </c>
      <c r="P126" s="68">
        <v>0</v>
      </c>
      <c r="Q126" s="68">
        <v>-35.820217454922386</v>
      </c>
    </row>
    <row r="127" spans="1:23" x14ac:dyDescent="0.3">
      <c r="A127"/>
      <c r="B127" t="s">
        <v>184</v>
      </c>
      <c r="C127"/>
      <c r="D127"/>
      <c r="E127"/>
      <c r="F127" s="310"/>
      <c r="G127" s="310"/>
      <c r="H127" s="310"/>
      <c r="I127" s="310"/>
      <c r="O127" s="50" t="s">
        <v>105</v>
      </c>
      <c r="P127" s="68">
        <v>19.557989438675577</v>
      </c>
      <c r="Q127" s="68">
        <v>0</v>
      </c>
    </row>
    <row r="128" spans="1:23" x14ac:dyDescent="0.3">
      <c r="A128"/>
      <c r="B128" s="4" t="s">
        <v>80</v>
      </c>
      <c r="C128"/>
      <c r="D128"/>
      <c r="E128"/>
      <c r="F128" s="310"/>
      <c r="G128" s="310"/>
      <c r="H128" s="310"/>
      <c r="I128" s="310"/>
    </row>
    <row r="129" spans="1:9" x14ac:dyDescent="0.3">
      <c r="A129"/>
      <c r="B129" s="4" t="s">
        <v>84</v>
      </c>
      <c r="C129"/>
      <c r="D129"/>
      <c r="E129"/>
      <c r="F129" s="310">
        <f>F110</f>
        <v>-7525.0970967008398</v>
      </c>
      <c r="G129" s="310"/>
      <c r="H129" s="310"/>
      <c r="I129" s="310">
        <f>F110</f>
        <v>-7525.0970967008398</v>
      </c>
    </row>
    <row r="130" spans="1:9" x14ac:dyDescent="0.3">
      <c r="A130"/>
      <c r="B130"/>
      <c r="C130"/>
      <c r="D130"/>
      <c r="E130"/>
      <c r="F130" s="310"/>
      <c r="G130" s="310"/>
      <c r="H130" s="310"/>
      <c r="I130" s="310"/>
    </row>
    <row r="131" spans="1:9" x14ac:dyDescent="0.3">
      <c r="A131"/>
      <c r="B131" t="s">
        <v>81</v>
      </c>
      <c r="C131"/>
      <c r="D131"/>
      <c r="E131"/>
      <c r="F131" s="310"/>
      <c r="G131" s="310"/>
      <c r="H131" s="310"/>
      <c r="I131" s="310"/>
    </row>
    <row r="132" spans="1:9" x14ac:dyDescent="0.3">
      <c r="A132"/>
      <c r="B132" s="4" t="s">
        <v>85</v>
      </c>
      <c r="C132"/>
      <c r="D132"/>
      <c r="E132"/>
      <c r="F132" s="310">
        <f>-C103*(0.0225-M106)</f>
        <v>-499.99999999999977</v>
      </c>
      <c r="G132" s="310"/>
      <c r="H132" s="310"/>
      <c r="I132" s="310">
        <f>-SUM(C108:C109)*(0.09-0.04)</f>
        <v>0</v>
      </c>
    </row>
    <row r="133" spans="1:9" x14ac:dyDescent="0.3">
      <c r="A133"/>
      <c r="B133" s="4" t="s">
        <v>86</v>
      </c>
      <c r="C133"/>
      <c r="D133"/>
      <c r="E133"/>
      <c r="F133" s="310">
        <f>-C103*(M106)</f>
        <v>-4000</v>
      </c>
      <c r="G133" s="310"/>
      <c r="H133" s="310"/>
      <c r="I133" s="310">
        <f>-SUM(C108:C109)*(0.04)</f>
        <v>0</v>
      </c>
    </row>
    <row r="134" spans="1:9" x14ac:dyDescent="0.3">
      <c r="A134"/>
      <c r="B134" t="s">
        <v>344</v>
      </c>
      <c r="C134"/>
      <c r="D134"/>
      <c r="E134"/>
      <c r="F134" s="310"/>
      <c r="G134" s="310"/>
      <c r="H134" s="310"/>
      <c r="I134" s="310"/>
    </row>
    <row r="135" spans="1:9" x14ac:dyDescent="0.3">
      <c r="A135"/>
      <c r="B135" s="4" t="s">
        <v>80</v>
      </c>
      <c r="C135"/>
      <c r="D135"/>
      <c r="E135"/>
      <c r="F135" s="310"/>
      <c r="G135" s="310"/>
      <c r="H135" s="310"/>
      <c r="I135" s="310"/>
    </row>
    <row r="136" spans="1:9" x14ac:dyDescent="0.3">
      <c r="A136"/>
      <c r="B136" s="4" t="s">
        <v>86</v>
      </c>
      <c r="C136"/>
      <c r="D136"/>
      <c r="E136"/>
      <c r="F136" s="310">
        <f>F112+C112</f>
        <v>3990.3147699758701</v>
      </c>
      <c r="G136" s="310"/>
      <c r="H136" s="310"/>
      <c r="I136" s="310">
        <f>F122</f>
        <v>0</v>
      </c>
    </row>
    <row r="137" spans="1:9" x14ac:dyDescent="0.3">
      <c r="A137"/>
      <c r="B137"/>
      <c r="C137"/>
      <c r="D137"/>
      <c r="E137"/>
      <c r="F137" s="310"/>
      <c r="G137" s="310"/>
      <c r="H137" s="310"/>
      <c r="I137" s="310"/>
    </row>
    <row r="138" spans="1:9" x14ac:dyDescent="0.3">
      <c r="A138"/>
      <c r="B138" s="315" t="s">
        <v>87</v>
      </c>
      <c r="C138" s="2"/>
      <c r="D138" s="2"/>
      <c r="E138" s="2"/>
      <c r="F138" s="261">
        <f>F125+F132</f>
        <v>9500</v>
      </c>
      <c r="G138" s="261"/>
      <c r="H138" s="261"/>
      <c r="I138" s="261">
        <f t="shared" ref="I138" si="14">I125+I132</f>
        <v>10000</v>
      </c>
    </row>
    <row r="139" spans="1:9" x14ac:dyDescent="0.3">
      <c r="A139"/>
      <c r="B139" s="264" t="s">
        <v>88</v>
      </c>
      <c r="C139" s="3"/>
      <c r="D139" s="3"/>
      <c r="E139" s="3"/>
      <c r="F139" s="262">
        <f>F126+F129+F133+F136</f>
        <v>465.21767327503039</v>
      </c>
      <c r="G139" s="262"/>
      <c r="H139" s="262"/>
      <c r="I139" s="262">
        <f t="shared" ref="I139" si="15">I126+I129+I133+I136</f>
        <v>474.90290329916024</v>
      </c>
    </row>
    <row r="140" spans="1:9" x14ac:dyDescent="0.3">
      <c r="A140"/>
      <c r="B140" s="4" t="s">
        <v>342</v>
      </c>
      <c r="C140"/>
      <c r="D140"/>
      <c r="E140"/>
      <c r="F140" s="310">
        <f>SUM(F138:F139)</f>
        <v>9965.2176732750304</v>
      </c>
      <c r="G140" s="310"/>
      <c r="H140" s="310"/>
      <c r="I140" s="310">
        <f t="shared" ref="I140" si="16">SUM(I138:I139)</f>
        <v>10474.90290329916</v>
      </c>
    </row>
    <row r="141" spans="1:9" x14ac:dyDescent="0.3">
      <c r="A141"/>
      <c r="B141" t="str">
        <f>B122</f>
        <v>Zinsergebnisprojektion_float</v>
      </c>
      <c r="C141" t="str">
        <f>C122</f>
        <v>-11.388,31 *floatingRate</v>
      </c>
      <c r="D141"/>
      <c r="E141"/>
      <c r="F141"/>
      <c r="G141"/>
      <c r="H141"/>
      <c r="I141"/>
    </row>
    <row r="142" spans="1:9" x14ac:dyDescent="0.3">
      <c r="A142"/>
      <c r="B142"/>
      <c r="C142"/>
      <c r="D142"/>
      <c r="E142"/>
      <c r="F142"/>
      <c r="G142"/>
      <c r="H142"/>
      <c r="I142"/>
    </row>
    <row r="143" spans="1:9" x14ac:dyDescent="0.3">
      <c r="A143"/>
      <c r="B143"/>
      <c r="C143"/>
      <c r="D143"/>
      <c r="E143"/>
      <c r="F143"/>
      <c r="G143"/>
      <c r="H143"/>
      <c r="I143"/>
    </row>
    <row r="144" spans="1:9" x14ac:dyDescent="0.3">
      <c r="A144"/>
      <c r="B144"/>
      <c r="C144"/>
      <c r="D144"/>
      <c r="E144"/>
      <c r="F144"/>
      <c r="G144"/>
      <c r="H144"/>
      <c r="I144"/>
    </row>
    <row r="145" spans="1:9" x14ac:dyDescent="0.3">
      <c r="A145"/>
      <c r="B145"/>
      <c r="C145" s="377" t="s">
        <v>338</v>
      </c>
      <c r="D145" s="377"/>
      <c r="E145" s="316"/>
      <c r="F145"/>
      <c r="G145"/>
      <c r="H145"/>
      <c r="I145"/>
    </row>
    <row r="146" spans="1:9" x14ac:dyDescent="0.3">
      <c r="A146"/>
      <c r="B146" s="317" t="s">
        <v>345</v>
      </c>
      <c r="C146" s="318" t="s">
        <v>2</v>
      </c>
      <c r="D146" s="318" t="s">
        <v>346</v>
      </c>
      <c r="E146" s="319" t="s">
        <v>347</v>
      </c>
      <c r="F146" s="319" t="s">
        <v>348</v>
      </c>
      <c r="G146"/>
      <c r="H146"/>
      <c r="I146"/>
    </row>
    <row r="147" spans="1:9" x14ac:dyDescent="0.3">
      <c r="A147"/>
      <c r="B147" t="s">
        <v>349</v>
      </c>
      <c r="C147" s="310">
        <f>C7+C8</f>
        <v>-200000</v>
      </c>
      <c r="D147"/>
      <c r="E147" s="310">
        <f>F7+F8</f>
        <v>18000</v>
      </c>
      <c r="F147" s="310">
        <f>I7+I8</f>
        <v>218000.00000000003</v>
      </c>
      <c r="G147"/>
      <c r="H147"/>
      <c r="I147"/>
    </row>
    <row r="148" spans="1:9" x14ac:dyDescent="0.3">
      <c r="A148"/>
      <c r="B148" t="s">
        <v>350</v>
      </c>
      <c r="C148" s="262">
        <f>C9</f>
        <v>200000</v>
      </c>
      <c r="D148" s="262"/>
      <c r="E148" s="262">
        <f>F9</f>
        <v>-204500</v>
      </c>
      <c r="F148" s="262"/>
      <c r="G148"/>
      <c r="H148"/>
      <c r="I148"/>
    </row>
    <row r="149" spans="1:9" x14ac:dyDescent="0.3">
      <c r="A149"/>
      <c r="B149" s="259" t="str">
        <f>B107</f>
        <v>Zinsbuch-CF</v>
      </c>
      <c r="C149" s="320">
        <f>SUM(C147:C148)</f>
        <v>0</v>
      </c>
      <c r="D149" s="320"/>
      <c r="E149" s="320">
        <f t="shared" ref="E149:F149" si="17">SUM(E147:E148)</f>
        <v>-186500</v>
      </c>
      <c r="F149" s="320">
        <f t="shared" si="17"/>
        <v>218000.00000000003</v>
      </c>
      <c r="G149"/>
      <c r="H149"/>
      <c r="I149"/>
    </row>
    <row r="150" spans="1:9" x14ac:dyDescent="0.3">
      <c r="A150"/>
      <c r="B150"/>
      <c r="C150"/>
      <c r="D150"/>
      <c r="E150"/>
      <c r="F150"/>
      <c r="G150"/>
      <c r="H150"/>
      <c r="I150"/>
    </row>
    <row r="151" spans="1:9" x14ac:dyDescent="0.3">
      <c r="A151"/>
      <c r="B151" t="s">
        <v>351</v>
      </c>
      <c r="C151"/>
      <c r="D151"/>
      <c r="E151"/>
      <c r="F151"/>
      <c r="G151"/>
      <c r="H151"/>
      <c r="I151"/>
    </row>
    <row r="152" spans="1:9" x14ac:dyDescent="0.3">
      <c r="A152"/>
      <c r="B152" t="s">
        <v>352</v>
      </c>
      <c r="C152" s="321">
        <f>C10</f>
        <v>0</v>
      </c>
      <c r="D152" s="322"/>
      <c r="E152" s="322"/>
      <c r="F152" s="322"/>
      <c r="G152"/>
      <c r="H152"/>
      <c r="I152"/>
    </row>
    <row r="153" spans="1:9" x14ac:dyDescent="0.3">
      <c r="A153"/>
      <c r="B153" t="s">
        <v>353</v>
      </c>
      <c r="C153" s="322"/>
      <c r="D153" s="321"/>
      <c r="E153" s="321">
        <f>C22</f>
        <v>19.557989438675577</v>
      </c>
      <c r="F153" s="321">
        <f>D22</f>
        <v>-35.8202174549224</v>
      </c>
      <c r="G153"/>
      <c r="H153"/>
      <c r="I153"/>
    </row>
    <row r="154" spans="1:9" x14ac:dyDescent="0.3">
      <c r="A154"/>
      <c r="B154"/>
      <c r="C154"/>
      <c r="D154"/>
      <c r="E154"/>
      <c r="F154"/>
      <c r="G154"/>
      <c r="H154"/>
      <c r="I154"/>
    </row>
    <row r="155" spans="1:9" x14ac:dyDescent="0.3">
      <c r="A155"/>
      <c r="B155"/>
      <c r="C155" s="377" t="s">
        <v>338</v>
      </c>
      <c r="D155" s="377"/>
      <c r="E155"/>
      <c r="F155"/>
      <c r="G155"/>
      <c r="H155"/>
      <c r="I155"/>
    </row>
    <row r="156" spans="1:9" x14ac:dyDescent="0.3">
      <c r="A156"/>
      <c r="B156" s="323" t="s">
        <v>354</v>
      </c>
      <c r="C156" s="318" t="s">
        <v>2</v>
      </c>
      <c r="D156" s="318" t="s">
        <v>346</v>
      </c>
      <c r="E156" s="319" t="s">
        <v>347</v>
      </c>
      <c r="F156" s="319" t="s">
        <v>348</v>
      </c>
      <c r="G156"/>
      <c r="H156"/>
      <c r="I156"/>
    </row>
    <row r="157" spans="1:9" x14ac:dyDescent="0.3">
      <c r="A157"/>
      <c r="B157" t="str">
        <f>A110</f>
        <v>Swap_1_Festzinszahler</v>
      </c>
      <c r="C157" s="310">
        <f>C110</f>
        <v>188127.42741752099</v>
      </c>
      <c r="D157"/>
      <c r="E157" s="310">
        <f>F110</f>
        <v>-7525.0970967008398</v>
      </c>
      <c r="F157" s="310">
        <f>I110</f>
        <v>-195652.52451422182</v>
      </c>
      <c r="G157"/>
      <c r="H157"/>
      <c r="I157"/>
    </row>
    <row r="158" spans="1:9" x14ac:dyDescent="0.3">
      <c r="A158"/>
      <c r="B158" t="str">
        <f t="shared" ref="B158:B160" si="18">A111</f>
        <v>Swap_1_Floater-Zinsempfänger</v>
      </c>
      <c r="C158" s="310">
        <f t="shared" ref="C158:C160" si="19">C111</f>
        <v>-188127.42741752099</v>
      </c>
      <c r="D158" t="str">
        <f>D111</f>
        <v>188.127,43 *floatingRate</v>
      </c>
      <c r="E158" s="310"/>
      <c r="F158" s="310"/>
      <c r="G158"/>
      <c r="H158"/>
      <c r="I158"/>
    </row>
    <row r="159" spans="1:9" x14ac:dyDescent="0.3">
      <c r="A159"/>
      <c r="B159" t="str">
        <f t="shared" si="18"/>
        <v>Swap_2_Festzinsempfänger</v>
      </c>
      <c r="C159" s="310">
        <f t="shared" si="19"/>
        <v>-199515.73849879325</v>
      </c>
      <c r="D159"/>
      <c r="E159" s="310">
        <f>F112</f>
        <v>203506.05326876912</v>
      </c>
      <c r="F159" s="310"/>
      <c r="G159"/>
      <c r="H159"/>
      <c r="I159"/>
    </row>
    <row r="160" spans="1:9" x14ac:dyDescent="0.3">
      <c r="A160"/>
      <c r="B160" t="str">
        <f t="shared" si="18"/>
        <v>Swap_2_Floater-Zinszahler</v>
      </c>
      <c r="C160" s="262">
        <f t="shared" si="19"/>
        <v>199515.73849879325</v>
      </c>
      <c r="D160" s="262" t="str">
        <f>D113</f>
        <v>-199.515,74 *floatingRate</v>
      </c>
      <c r="E160" s="262"/>
      <c r="F160" s="262"/>
      <c r="G160"/>
      <c r="H160"/>
      <c r="I160"/>
    </row>
    <row r="161" spans="1:9" x14ac:dyDescent="0.3">
      <c r="A161"/>
      <c r="B161" s="259" t="s">
        <v>355</v>
      </c>
      <c r="C161" s="320">
        <f>SUM(C157:C160)</f>
        <v>0</v>
      </c>
      <c r="D161" s="320" t="str">
        <f>D114</f>
        <v>-11.388,31 *floatingRate</v>
      </c>
      <c r="E161" s="320">
        <f t="shared" ref="E161:F161" si="20">SUM(E157:E160)</f>
        <v>195980.95617206828</v>
      </c>
      <c r="F161" s="320">
        <f t="shared" si="20"/>
        <v>-195652.52451422182</v>
      </c>
      <c r="G161"/>
      <c r="H161"/>
      <c r="I161"/>
    </row>
    <row r="162" spans="1:9" x14ac:dyDescent="0.3">
      <c r="A162"/>
      <c r="B162"/>
      <c r="C162"/>
      <c r="D162"/>
      <c r="E162"/>
      <c r="F162"/>
      <c r="G162"/>
      <c r="H162"/>
      <c r="I162"/>
    </row>
    <row r="163" spans="1:9" x14ac:dyDescent="0.3">
      <c r="A163"/>
      <c r="B163" t="s">
        <v>351</v>
      </c>
      <c r="C163"/>
      <c r="D163"/>
      <c r="E163"/>
      <c r="F163"/>
      <c r="G163"/>
      <c r="H163"/>
      <c r="I163"/>
    </row>
    <row r="164" spans="1:9" x14ac:dyDescent="0.3">
      <c r="A164"/>
      <c r="B164" t="s">
        <v>356</v>
      </c>
      <c r="C164" s="321">
        <f>C161</f>
        <v>0</v>
      </c>
      <c r="D164" s="322"/>
      <c r="E164" s="322"/>
      <c r="F164" s="322"/>
      <c r="G164"/>
      <c r="H164"/>
      <c r="I164"/>
    </row>
    <row r="165" spans="1:9" x14ac:dyDescent="0.3">
      <c r="A165"/>
      <c r="B165" t="s">
        <v>353</v>
      </c>
      <c r="C165" s="322"/>
      <c r="D165" s="321" t="s">
        <v>357</v>
      </c>
      <c r="E165" s="321">
        <f>-E153</f>
        <v>-19.557989438675577</v>
      </c>
      <c r="F165" s="321">
        <f>-F153</f>
        <v>35.8202174549224</v>
      </c>
      <c r="G165"/>
      <c r="H165"/>
      <c r="I165"/>
    </row>
    <row r="166" spans="1:9" x14ac:dyDescent="0.3">
      <c r="A166"/>
      <c r="B166"/>
      <c r="C166"/>
      <c r="D166"/>
      <c r="E166"/>
      <c r="F166"/>
      <c r="G166"/>
      <c r="H166"/>
      <c r="I166"/>
    </row>
    <row r="167" spans="1:9" x14ac:dyDescent="0.3">
      <c r="A167"/>
      <c r="B167"/>
      <c r="C167" s="377" t="s">
        <v>338</v>
      </c>
      <c r="D167" s="377"/>
      <c r="E167"/>
      <c r="F167"/>
      <c r="G167"/>
      <c r="H167"/>
      <c r="I167"/>
    </row>
    <row r="168" spans="1:9" x14ac:dyDescent="0.3">
      <c r="A168"/>
      <c r="B168" s="265" t="s">
        <v>358</v>
      </c>
      <c r="C168" s="318" t="s">
        <v>2</v>
      </c>
      <c r="D168" s="318" t="s">
        <v>346</v>
      </c>
      <c r="E168" s="319" t="s">
        <v>347</v>
      </c>
      <c r="F168" s="319" t="s">
        <v>348</v>
      </c>
      <c r="G168"/>
      <c r="H168"/>
      <c r="I168"/>
    </row>
    <row r="169" spans="1:9" x14ac:dyDescent="0.3">
      <c r="A169"/>
      <c r="B169" t="str">
        <f>B146</f>
        <v>Grund- und Kundengeschäft</v>
      </c>
      <c r="C169" s="310">
        <f>C149</f>
        <v>0</v>
      </c>
      <c r="D169"/>
      <c r="E169" s="310">
        <f t="shared" ref="E169:F169" si="21">E149</f>
        <v>-186500</v>
      </c>
      <c r="F169" s="310">
        <f t="shared" si="21"/>
        <v>218000.00000000003</v>
      </c>
      <c r="G169"/>
      <c r="H169"/>
      <c r="I169"/>
    </row>
    <row r="170" spans="1:9" x14ac:dyDescent="0.3">
      <c r="A170"/>
      <c r="B170" t="str">
        <f>B156</f>
        <v>Steuerungsportfolio</v>
      </c>
      <c r="C170" s="310">
        <f>C161</f>
        <v>0</v>
      </c>
      <c r="D170" s="310" t="str">
        <f>D161</f>
        <v>-11.388,31 *floatingRate</v>
      </c>
      <c r="E170" s="310">
        <f t="shared" ref="E170:F170" si="22">E161</f>
        <v>195980.95617206828</v>
      </c>
      <c r="F170" s="310">
        <f t="shared" si="22"/>
        <v>-195652.52451422182</v>
      </c>
      <c r="G170"/>
      <c r="H170"/>
      <c r="I170"/>
    </row>
    <row r="171" spans="1:9" x14ac:dyDescent="0.3">
      <c r="A171"/>
      <c r="B171" s="259" t="s">
        <v>355</v>
      </c>
      <c r="C171" s="320">
        <f>SUM(C167:C170)</f>
        <v>0</v>
      </c>
      <c r="D171" s="320" t="str">
        <f>D114</f>
        <v>-11.388,31 *floatingRate</v>
      </c>
      <c r="E171" s="320">
        <f t="shared" ref="E171:F171" si="23">SUM(E167:E170)</f>
        <v>9480.9561720682832</v>
      </c>
      <c r="F171" s="320">
        <f t="shared" si="23"/>
        <v>22347.47548577821</v>
      </c>
      <c r="G171"/>
      <c r="H171"/>
      <c r="I171"/>
    </row>
    <row r="172" spans="1:9" x14ac:dyDescent="0.3">
      <c r="A172"/>
      <c r="B172"/>
      <c r="C172"/>
      <c r="D172"/>
      <c r="E172"/>
      <c r="F172"/>
      <c r="G172"/>
      <c r="H172"/>
      <c r="I172"/>
    </row>
    <row r="173" spans="1:9" x14ac:dyDescent="0.3">
      <c r="A173"/>
      <c r="B173" t="s">
        <v>351</v>
      </c>
      <c r="C173"/>
      <c r="D173"/>
      <c r="E173"/>
      <c r="F173"/>
      <c r="G173"/>
      <c r="H173"/>
      <c r="I173"/>
    </row>
    <row r="174" spans="1:9" x14ac:dyDescent="0.3">
      <c r="A174"/>
      <c r="B174" t="s">
        <v>356</v>
      </c>
      <c r="C174" s="321">
        <f>C152+C164</f>
        <v>0</v>
      </c>
      <c r="D174" s="322"/>
      <c r="E174" s="322"/>
      <c r="F174" s="322"/>
      <c r="G174"/>
      <c r="H174"/>
      <c r="I174"/>
    </row>
    <row r="175" spans="1:9" x14ac:dyDescent="0.3">
      <c r="A175"/>
      <c r="B175" t="s">
        <v>353</v>
      </c>
      <c r="C175" s="322"/>
      <c r="D175" s="321" t="s">
        <v>357</v>
      </c>
      <c r="E175" s="321">
        <f>E153+E165</f>
        <v>0</v>
      </c>
      <c r="F175" s="321">
        <f>F153+F165</f>
        <v>0</v>
      </c>
      <c r="G175"/>
      <c r="H175"/>
      <c r="I175"/>
    </row>
    <row r="176" spans="1:9" x14ac:dyDescent="0.3">
      <c r="A176"/>
      <c r="B176"/>
      <c r="C176"/>
      <c r="D176"/>
      <c r="E176"/>
      <c r="F176"/>
      <c r="G176"/>
      <c r="H176"/>
      <c r="I176"/>
    </row>
    <row r="177" spans="1:9" x14ac:dyDescent="0.3">
      <c r="A177"/>
      <c r="B177"/>
      <c r="C177"/>
      <c r="D177"/>
      <c r="E177"/>
      <c r="F177"/>
      <c r="G177"/>
      <c r="H177"/>
      <c r="I177"/>
    </row>
    <row r="178" spans="1:9" x14ac:dyDescent="0.3">
      <c r="A178"/>
      <c r="B178" s="265" t="s">
        <v>359</v>
      </c>
      <c r="C178"/>
      <c r="D178"/>
      <c r="E178"/>
      <c r="F178"/>
      <c r="G178"/>
      <c r="H178"/>
      <c r="I178"/>
    </row>
    <row r="179" spans="1:9" x14ac:dyDescent="0.3">
      <c r="A179"/>
      <c r="B179"/>
      <c r="C179" s="377" t="s">
        <v>338</v>
      </c>
      <c r="D179" s="377"/>
      <c r="E179"/>
      <c r="F179"/>
      <c r="G179"/>
      <c r="H179"/>
      <c r="I179"/>
    </row>
    <row r="180" spans="1:9" x14ac:dyDescent="0.3">
      <c r="A180"/>
      <c r="B180"/>
      <c r="C180" s="318" t="s">
        <v>2</v>
      </c>
      <c r="D180" s="318" t="s">
        <v>346</v>
      </c>
      <c r="E180" s="319" t="s">
        <v>347</v>
      </c>
      <c r="F180" s="319" t="s">
        <v>348</v>
      </c>
      <c r="G180"/>
      <c r="H180"/>
      <c r="I180"/>
    </row>
    <row r="181" spans="1:9" x14ac:dyDescent="0.3">
      <c r="A181"/>
      <c r="B181" t="str">
        <f>B138</f>
        <v>Konditionsmargen</v>
      </c>
      <c r="C181"/>
      <c r="D181"/>
      <c r="E181" s="310">
        <f>F138</f>
        <v>9500</v>
      </c>
      <c r="F181" s="310">
        <f>I138</f>
        <v>10000</v>
      </c>
      <c r="G181"/>
      <c r="H181"/>
      <c r="I181"/>
    </row>
    <row r="182" spans="1:9" x14ac:dyDescent="0.3">
      <c r="A182"/>
      <c r="B182" t="str">
        <f t="shared" ref="B182:B184" si="24">B139</f>
        <v>Kapitalmarkt-Zins"kosten"</v>
      </c>
      <c r="C182"/>
      <c r="D182"/>
      <c r="E182" s="310">
        <f t="shared" ref="E182:E183" si="25">F139</f>
        <v>465.21767327503039</v>
      </c>
      <c r="F182" s="310">
        <f t="shared" ref="F182:F183" si="26">I139</f>
        <v>474.90290329916024</v>
      </c>
      <c r="G182"/>
      <c r="H182"/>
      <c r="I182"/>
    </row>
    <row r="183" spans="1:9" x14ac:dyDescent="0.3">
      <c r="A183"/>
      <c r="B183" s="256" t="str">
        <f t="shared" si="24"/>
        <v>Zinsergebnisprojektion_fixed</v>
      </c>
      <c r="C183" s="257"/>
      <c r="D183" s="257"/>
      <c r="E183" s="324">
        <f t="shared" si="25"/>
        <v>9965.2176732750304</v>
      </c>
      <c r="F183" s="263">
        <f t="shared" si="26"/>
        <v>10474.90290329916</v>
      </c>
      <c r="G183"/>
      <c r="H183"/>
      <c r="I183"/>
    </row>
    <row r="184" spans="1:9" x14ac:dyDescent="0.3">
      <c r="A184"/>
      <c r="B184" s="258" t="str">
        <f t="shared" si="24"/>
        <v>Zinsergebnisprojektion_float</v>
      </c>
      <c r="C184" s="3"/>
      <c r="D184" s="262" t="str">
        <f>D119</f>
        <v>-11.388,31 *floatingRate</v>
      </c>
      <c r="E184" s="262" t="s">
        <v>360</v>
      </c>
      <c r="F184" s="325" t="s">
        <v>360</v>
      </c>
      <c r="G184"/>
      <c r="H184"/>
      <c r="I184"/>
    </row>
    <row r="185" spans="1:9" x14ac:dyDescent="0.3">
      <c r="A185"/>
      <c r="B185"/>
      <c r="C185"/>
      <c r="D185"/>
      <c r="E185"/>
      <c r="F185"/>
      <c r="G185"/>
      <c r="H185"/>
      <c r="I185"/>
    </row>
  </sheetData>
  <mergeCells count="21">
    <mergeCell ref="C179:D179"/>
    <mergeCell ref="S120:U121"/>
    <mergeCell ref="C116:D116"/>
    <mergeCell ref="C145:D145"/>
    <mergeCell ref="C155:D155"/>
    <mergeCell ref="C167:D167"/>
    <mergeCell ref="V4:X4"/>
    <mergeCell ref="K100:K103"/>
    <mergeCell ref="R4:R5"/>
    <mergeCell ref="S4:S5"/>
    <mergeCell ref="T4:T5"/>
    <mergeCell ref="U4:U5"/>
    <mergeCell ref="Q4:Q5"/>
    <mergeCell ref="K5:K8"/>
    <mergeCell ref="S100:S103"/>
    <mergeCell ref="P99:R99"/>
    <mergeCell ref="P105:R105"/>
    <mergeCell ref="P113:R113"/>
    <mergeCell ref="G18:I20"/>
    <mergeCell ref="K45:K48"/>
    <mergeCell ref="G58:I60"/>
  </mergeCells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1"/>
  <sheetViews>
    <sheetView zoomScale="115" zoomScaleNormal="115" workbookViewId="0">
      <selection activeCell="A16" sqref="A16:D16"/>
    </sheetView>
  </sheetViews>
  <sheetFormatPr baseColWidth="10" defaultRowHeight="14.4" x14ac:dyDescent="0.3"/>
  <cols>
    <col min="1" max="1" width="41.44140625" style="17" bestFit="1" customWidth="1"/>
    <col min="2" max="2" width="12.33203125" style="17" bestFit="1" customWidth="1"/>
    <col min="3" max="3" width="12" style="17" bestFit="1" customWidth="1"/>
    <col min="4" max="4" width="13.109375" style="17" customWidth="1"/>
    <col min="5" max="7" width="11.5546875" style="17"/>
    <col min="8" max="8" width="14" style="17" bestFit="1" customWidth="1"/>
    <col min="9" max="9" width="11.5546875" style="17"/>
    <col min="10" max="10" width="13.88671875" style="17" bestFit="1" customWidth="1"/>
    <col min="11" max="27" width="11.5546875" style="17"/>
    <col min="28" max="28" width="12.88671875" style="17" bestFit="1" customWidth="1"/>
    <col min="29" max="35" width="11.5546875" style="17"/>
  </cols>
  <sheetData>
    <row r="1" spans="1:41" ht="15.6" x14ac:dyDescent="0.3">
      <c r="A1" s="174" t="s">
        <v>246</v>
      </c>
    </row>
    <row r="2" spans="1:41" x14ac:dyDescent="0.3">
      <c r="C2" s="380" t="s">
        <v>136</v>
      </c>
      <c r="D2" s="380"/>
      <c r="G2" s="17" t="s">
        <v>47</v>
      </c>
      <c r="H2" s="17">
        <v>1</v>
      </c>
      <c r="I2" s="17">
        <v>2</v>
      </c>
      <c r="J2" s="17">
        <v>1</v>
      </c>
      <c r="K2" s="17">
        <v>2</v>
      </c>
      <c r="L2" s="153" t="s">
        <v>128</v>
      </c>
      <c r="M2" s="153" t="s">
        <v>129</v>
      </c>
      <c r="N2" s="17" t="s">
        <v>145</v>
      </c>
      <c r="O2" s="17" t="s">
        <v>146</v>
      </c>
      <c r="P2" s="17" t="s">
        <v>147</v>
      </c>
      <c r="Q2" s="17" t="s">
        <v>148</v>
      </c>
      <c r="R2" s="17" t="s">
        <v>130</v>
      </c>
      <c r="S2" s="17" t="s">
        <v>242</v>
      </c>
      <c r="T2" s="17" t="s">
        <v>98</v>
      </c>
      <c r="U2" s="17" t="s">
        <v>140</v>
      </c>
      <c r="V2" s="17" t="s">
        <v>139</v>
      </c>
      <c r="W2" s="17" t="s">
        <v>132</v>
      </c>
      <c r="X2" s="17" t="s">
        <v>133</v>
      </c>
      <c r="Y2" s="17" t="s">
        <v>134</v>
      </c>
      <c r="Z2" s="17" t="s">
        <v>142</v>
      </c>
      <c r="AA2" s="17" t="s">
        <v>141</v>
      </c>
      <c r="AB2" s="17" t="s">
        <v>143</v>
      </c>
      <c r="AC2" s="17" t="s">
        <v>144</v>
      </c>
    </row>
    <row r="3" spans="1:41" x14ac:dyDescent="0.3">
      <c r="B3" s="17" t="s">
        <v>135</v>
      </c>
      <c r="C3" s="94">
        <v>1</v>
      </c>
      <c r="D3" s="94">
        <v>2</v>
      </c>
      <c r="H3" s="44">
        <f>0.02+L3</f>
        <v>0.02</v>
      </c>
      <c r="I3" s="44">
        <f>0.04+L3</f>
        <v>0.04</v>
      </c>
      <c r="J3" s="154">
        <f>0.05+L3+M3</f>
        <v>0.05</v>
      </c>
      <c r="K3" s="154">
        <f>0.09+L3+M3</f>
        <v>0.09</v>
      </c>
      <c r="L3" s="108">
        <v>0</v>
      </c>
      <c r="M3" s="108">
        <v>0</v>
      </c>
      <c r="N3" s="17">
        <f>1/(1+H3)</f>
        <v>0.98039215686274506</v>
      </c>
      <c r="O3" s="17">
        <f>(1-I3*SUM($N3:N3))/(1+I3)</f>
        <v>0.92383107088989447</v>
      </c>
      <c r="P3" s="17">
        <f t="shared" ref="P3" si="0">1/(1+J3)</f>
        <v>0.95238095238095233</v>
      </c>
      <c r="Q3" s="17">
        <f>(1-K3*SUM($P3:P3))/(1+K3)</f>
        <v>0.83879423328964609</v>
      </c>
      <c r="R3" s="17">
        <f>SUMPRODUCT(N3:O3,$C$5:$D$5)</f>
        <v>109521.1161387632</v>
      </c>
      <c r="S3" s="17">
        <f>SUMPRODUCT(N3:O3,$C$6:$D$6)</f>
        <v>100000</v>
      </c>
      <c r="T3" s="17">
        <f>SUMPRODUCT(P3:Q3,$C$4:$D$4)</f>
        <v>99999.999999999985</v>
      </c>
      <c r="U3" s="20">
        <f>SUMPRODUCT($C$14:$D$14,N3:O3)-SUM($A$12:$A$13)</f>
        <v>0</v>
      </c>
      <c r="V3" s="20">
        <f>SUMPRODUCT($C$21:$D$21,N3:O3)-SUM($A$19:$A$20)</f>
        <v>0</v>
      </c>
      <c r="W3" s="155" t="s">
        <v>132</v>
      </c>
      <c r="X3" s="155" t="s">
        <v>133</v>
      </c>
      <c r="Y3" s="155" t="s">
        <v>134</v>
      </c>
      <c r="Z3" s="155" t="s">
        <v>137</v>
      </c>
      <c r="AA3" s="155" t="s">
        <v>138</v>
      </c>
      <c r="AB3" s="155" t="s">
        <v>142</v>
      </c>
      <c r="AC3" s="155" t="s">
        <v>141</v>
      </c>
    </row>
    <row r="4" spans="1:41" x14ac:dyDescent="0.3">
      <c r="A4" s="17" t="s">
        <v>126</v>
      </c>
      <c r="B4" s="155">
        <f>T3</f>
        <v>99999.999999999985</v>
      </c>
      <c r="C4" s="155">
        <v>9000</v>
      </c>
      <c r="D4" s="155">
        <v>109000</v>
      </c>
      <c r="H4" s="44">
        <f>0.02+L4</f>
        <v>2.01E-2</v>
      </c>
      <c r="I4" s="44">
        <f>0.04+L4</f>
        <v>4.0100000000000004E-2</v>
      </c>
      <c r="J4" s="154">
        <f>0.05+L4+M4</f>
        <v>5.0100000000000006E-2</v>
      </c>
      <c r="K4" s="154">
        <f>0.09+L4+M4</f>
        <v>9.01E-2</v>
      </c>
      <c r="L4" s="156">
        <v>1E-4</v>
      </c>
      <c r="M4" s="156">
        <v>0</v>
      </c>
      <c r="N4" s="17">
        <f>1/(1+H4)</f>
        <v>0.98029604940692083</v>
      </c>
      <c r="O4" s="17">
        <f>(1-I4*SUM($N4:N4))/(1+I4)</f>
        <v>0.9236516954319608</v>
      </c>
      <c r="P4" s="17">
        <f>1/(1+J4)</f>
        <v>0.95229025807065992</v>
      </c>
      <c r="Q4" s="17">
        <f>(1-K4*SUM($P4:P4))/(1+K4)</f>
        <v>0.83863741651943258</v>
      </c>
      <c r="R4" s="17">
        <f>SUMPRODUCT(N4:O4,$C$5:$D$5)</f>
        <v>109500.69924674601</v>
      </c>
      <c r="S4" s="17">
        <f>SUMPRODUCT(N4:O4,$C$6:$D$6)</f>
        <v>99980.960522551599</v>
      </c>
      <c r="T4" s="17">
        <f>SUMPRODUCT(P4:Q4,$C$4:$D$4)</f>
        <v>99982.090723254092</v>
      </c>
      <c r="U4" s="20">
        <f>SUMPRODUCT($C$14:$D$14,N4:O4)-SUM($A$12:$A$13)</f>
        <v>20.416892017179634</v>
      </c>
      <c r="V4" s="20">
        <f>SUMPRODUCT($C$21:$D$21,N4:O4)-SUM($A$19:$A$20)</f>
        <v>17.909276745878742</v>
      </c>
      <c r="W4" s="155">
        <f>R4-$R$3</f>
        <v>-20.416892017194186</v>
      </c>
      <c r="X4" s="155">
        <f>S4-$S$3</f>
        <v>-19.039477448401158</v>
      </c>
      <c r="Y4" s="157">
        <f>T4-$T$3</f>
        <v>-17.909276745893294</v>
      </c>
      <c r="Z4" s="158">
        <f>U4+W4</f>
        <v>-1.4551915228366852E-11</v>
      </c>
      <c r="AA4" s="158">
        <f>U4+Y4</f>
        <v>2.5076152712863404</v>
      </c>
      <c r="AB4" s="158">
        <f>V4+W4</f>
        <v>-2.5076152713154443</v>
      </c>
      <c r="AC4" s="158">
        <f>V4+Y4</f>
        <v>-1.4551915228366852E-11</v>
      </c>
    </row>
    <row r="5" spans="1:41" x14ac:dyDescent="0.3">
      <c r="A5" s="17" t="s">
        <v>127</v>
      </c>
      <c r="B5" s="155">
        <f>R3</f>
        <v>109521.1161387632</v>
      </c>
      <c r="C5" s="155">
        <v>9000</v>
      </c>
      <c r="D5" s="155">
        <v>109000</v>
      </c>
      <c r="Y5" s="158"/>
    </row>
    <row r="6" spans="1:41" x14ac:dyDescent="0.3">
      <c r="A6" s="17" t="s">
        <v>241</v>
      </c>
      <c r="B6" s="155">
        <f>S3</f>
        <v>100000</v>
      </c>
      <c r="C6" s="155">
        <v>4000</v>
      </c>
      <c r="D6" s="155">
        <v>104000</v>
      </c>
      <c r="L6" s="153" t="s">
        <v>128</v>
      </c>
      <c r="M6" s="153" t="s">
        <v>129</v>
      </c>
    </row>
    <row r="7" spans="1:41" x14ac:dyDescent="0.3">
      <c r="G7" s="17" t="s">
        <v>47</v>
      </c>
      <c r="H7" s="17">
        <v>1</v>
      </c>
      <c r="I7" s="17">
        <v>2</v>
      </c>
      <c r="J7" s="17">
        <v>1</v>
      </c>
      <c r="K7" s="17">
        <v>2</v>
      </c>
      <c r="L7" s="153" t="s">
        <v>128</v>
      </c>
      <c r="M7" s="153" t="s">
        <v>129</v>
      </c>
      <c r="N7" s="17" t="s">
        <v>145</v>
      </c>
      <c r="O7" s="17" t="s">
        <v>146</v>
      </c>
      <c r="P7" s="17" t="s">
        <v>147</v>
      </c>
      <c r="Q7" s="17" t="s">
        <v>148</v>
      </c>
      <c r="R7" s="17" t="s">
        <v>130</v>
      </c>
      <c r="S7" s="17" t="s">
        <v>242</v>
      </c>
      <c r="T7" s="17" t="s">
        <v>98</v>
      </c>
      <c r="U7" s="17" t="s">
        <v>140</v>
      </c>
      <c r="V7" s="17" t="s">
        <v>139</v>
      </c>
      <c r="W7" s="155" t="s">
        <v>187</v>
      </c>
      <c r="X7" s="155" t="s">
        <v>243</v>
      </c>
      <c r="Y7" s="155" t="s">
        <v>134</v>
      </c>
      <c r="Z7" s="155" t="s">
        <v>169</v>
      </c>
      <c r="AA7" s="155" t="s">
        <v>141</v>
      </c>
      <c r="AB7" s="155" t="s">
        <v>168</v>
      </c>
      <c r="AC7" s="155" t="s">
        <v>144</v>
      </c>
    </row>
    <row r="8" spans="1:41" x14ac:dyDescent="0.3">
      <c r="H8" s="44">
        <f t="shared" ref="H8:H16" si="1">0.02+L8</f>
        <v>-0.02</v>
      </c>
      <c r="I8" s="44">
        <f t="shared" ref="I8:I16" si="2">0.04+L8</f>
        <v>0</v>
      </c>
      <c r="J8" s="154">
        <f t="shared" ref="J8:J16" si="3">0.05+L8+M8</f>
        <v>1.0000000000000002E-2</v>
      </c>
      <c r="K8" s="154">
        <f t="shared" ref="K8:K16" si="4">0.09+L8+M8</f>
        <v>4.9999999999999996E-2</v>
      </c>
      <c r="L8" s="108">
        <v>-0.04</v>
      </c>
      <c r="M8" s="108">
        <v>0</v>
      </c>
      <c r="N8" s="17">
        <f t="shared" ref="N8:N16" si="5">1/(1+H8)</f>
        <v>1.0204081632653061</v>
      </c>
      <c r="O8" s="17">
        <f>(1-I8*SUM($N8:N8))/(1+I8)</f>
        <v>1</v>
      </c>
      <c r="P8" s="17">
        <f t="shared" ref="P8:P16" si="6">1/(1+J8)</f>
        <v>0.99009900990099009</v>
      </c>
      <c r="Q8" s="17">
        <f>(1-K8*SUM($P8:P8))/(1+K8)</f>
        <v>0.90523338048090518</v>
      </c>
      <c r="R8" s="17">
        <f t="shared" ref="R8:R16" si="7">SUMPRODUCT(N8:O8,$C$5:$D$5)</f>
        <v>118183.67346938775</v>
      </c>
      <c r="S8" s="17">
        <f t="shared" ref="S8:S16" si="8">SUMPRODUCT(N8:O8,$C$6:$D$6)</f>
        <v>108081.63265306123</v>
      </c>
      <c r="T8" s="17">
        <f t="shared" ref="T8:T16" si="9">SUMPRODUCT(P8:Q8,$C$4:$D$4)</f>
        <v>107581.32956152759</v>
      </c>
      <c r="U8" s="20">
        <f t="shared" ref="U8:U16" si="10">SUMPRODUCT($C$14:$D$14,N8:O8)-SUM($A$12:$A$13)</f>
        <v>-8662.5573306245642</v>
      </c>
      <c r="V8" s="20">
        <f t="shared" ref="V8:V16" si="11">SUMPRODUCT($C$21:$D$21,N8:O8)-SUM($A$19:$A$20)</f>
        <v>-7597.7384750510973</v>
      </c>
      <c r="W8" s="155">
        <f t="shared" ref="W8:W16" si="12">R8-$R$3</f>
        <v>8662.5573306245496</v>
      </c>
      <c r="X8" s="155">
        <f t="shared" ref="X8:X16" si="13">S8-$S$3</f>
        <v>8081.6326530612278</v>
      </c>
      <c r="Y8" s="155">
        <f t="shared" ref="Y8:Y16" si="14">T8-$T$3</f>
        <v>7581.3295615276002</v>
      </c>
      <c r="Z8" s="158">
        <f>U8+W8</f>
        <v>-1.4551915228366852E-11</v>
      </c>
      <c r="AA8" s="158">
        <f>U8+Y8</f>
        <v>-1081.227769096964</v>
      </c>
      <c r="AB8" s="158">
        <f>V8+W8</f>
        <v>1064.8188555734523</v>
      </c>
      <c r="AC8" s="158">
        <f>V8+Y8</f>
        <v>-16.408913523497176</v>
      </c>
    </row>
    <row r="9" spans="1:41" x14ac:dyDescent="0.3">
      <c r="A9" s="367" t="s">
        <v>140</v>
      </c>
      <c r="B9" s="367"/>
      <c r="C9" s="367"/>
      <c r="D9" s="367"/>
      <c r="H9" s="44">
        <f t="shared" si="1"/>
        <v>-9.9999999999999985E-3</v>
      </c>
      <c r="I9" s="44">
        <f t="shared" si="2"/>
        <v>1.0000000000000002E-2</v>
      </c>
      <c r="J9" s="154">
        <f t="shared" si="3"/>
        <v>2.0000000000000004E-2</v>
      </c>
      <c r="K9" s="154">
        <f t="shared" si="4"/>
        <v>0.06</v>
      </c>
      <c r="L9" s="108">
        <v>-0.03</v>
      </c>
      <c r="M9" s="108">
        <v>0</v>
      </c>
      <c r="N9" s="17">
        <f t="shared" si="5"/>
        <v>1.0101010101010102</v>
      </c>
      <c r="O9" s="17">
        <f>(1-I9*SUM($N9:N9))/(1+I9)</f>
        <v>0.98009800980098016</v>
      </c>
      <c r="P9" s="17">
        <f t="shared" si="6"/>
        <v>0.98039215686274506</v>
      </c>
      <c r="Q9" s="17">
        <f>(1-K9*SUM($P9:P9))/(1+K9)</f>
        <v>0.88790233074361813</v>
      </c>
      <c r="R9" s="17">
        <f t="shared" si="7"/>
        <v>115921.59215921593</v>
      </c>
      <c r="S9" s="17">
        <f t="shared" si="8"/>
        <v>105970.59705970598</v>
      </c>
      <c r="T9" s="17">
        <f t="shared" si="9"/>
        <v>105604.8834628191</v>
      </c>
      <c r="U9" s="20">
        <f t="shared" si="10"/>
        <v>-6400.4760204527411</v>
      </c>
      <c r="V9" s="20">
        <f t="shared" si="11"/>
        <v>-5613.881037460189</v>
      </c>
      <c r="W9" s="155">
        <f t="shared" si="12"/>
        <v>6400.4760204527265</v>
      </c>
      <c r="X9" s="155">
        <f t="shared" si="13"/>
        <v>5970.5970597059786</v>
      </c>
      <c r="Y9" s="155">
        <f t="shared" si="14"/>
        <v>5604.8834628191107</v>
      </c>
      <c r="Z9" s="158">
        <f t="shared" ref="Z9:Z16" si="15">U9+W9</f>
        <v>-1.4551915228366852E-11</v>
      </c>
      <c r="AA9" s="158">
        <f t="shared" ref="AA9:AA16" si="16">U9+Y9</f>
        <v>-795.59255763363035</v>
      </c>
      <c r="AB9" s="158">
        <f t="shared" ref="AB9:AB16" si="17">V9+W9</f>
        <v>786.59498299253755</v>
      </c>
      <c r="AC9" s="158">
        <f t="shared" ref="AC9:AC16" si="18">V9+Y9</f>
        <v>-8.9975746410782449</v>
      </c>
    </row>
    <row r="10" spans="1:41" x14ac:dyDescent="0.3">
      <c r="C10" s="380" t="s">
        <v>136</v>
      </c>
      <c r="D10" s="380"/>
      <c r="H10" s="44">
        <f t="shared" si="1"/>
        <v>0</v>
      </c>
      <c r="I10" s="44">
        <f t="shared" si="2"/>
        <v>0.02</v>
      </c>
      <c r="J10" s="154">
        <f t="shared" si="3"/>
        <v>3.0000000000000002E-2</v>
      </c>
      <c r="K10" s="154">
        <f t="shared" si="4"/>
        <v>6.9999999999999993E-2</v>
      </c>
      <c r="L10" s="108">
        <v>-0.02</v>
      </c>
      <c r="M10" s="108">
        <v>0</v>
      </c>
      <c r="N10" s="17">
        <f t="shared" si="5"/>
        <v>1</v>
      </c>
      <c r="O10" s="17">
        <f>(1-I10*SUM($N10:N10))/(1+I10)</f>
        <v>0.96078431372549011</v>
      </c>
      <c r="P10" s="17">
        <f t="shared" si="6"/>
        <v>0.970873786407767</v>
      </c>
      <c r="Q10" s="17">
        <f>(1-K10*SUM($P10:P10))/(1+K10)</f>
        <v>0.87106433173033293</v>
      </c>
      <c r="R10" s="17">
        <f t="shared" si="7"/>
        <v>113725.49019607842</v>
      </c>
      <c r="S10" s="17">
        <f t="shared" si="8"/>
        <v>103921.56862745098</v>
      </c>
      <c r="T10" s="17">
        <f t="shared" si="9"/>
        <v>103683.87623627619</v>
      </c>
      <c r="U10" s="20">
        <f t="shared" si="10"/>
        <v>-4204.3740573152318</v>
      </c>
      <c r="V10" s="20">
        <f t="shared" si="11"/>
        <v>-3687.7787709479162</v>
      </c>
      <c r="W10" s="155">
        <f t="shared" si="12"/>
        <v>4204.3740573152172</v>
      </c>
      <c r="X10" s="155">
        <f t="shared" si="13"/>
        <v>3921.568627450979</v>
      </c>
      <c r="Y10" s="155">
        <f t="shared" si="14"/>
        <v>3683.8762362762063</v>
      </c>
      <c r="Z10" s="158">
        <f t="shared" si="15"/>
        <v>-1.4551915228366852E-11</v>
      </c>
      <c r="AA10" s="158">
        <f t="shared" si="16"/>
        <v>-520.49782103902544</v>
      </c>
      <c r="AB10" s="158">
        <f t="shared" si="17"/>
        <v>516.59528636730101</v>
      </c>
      <c r="AC10" s="158">
        <f t="shared" si="18"/>
        <v>-3.9025346717098728</v>
      </c>
    </row>
    <row r="11" spans="1:41" x14ac:dyDescent="0.3">
      <c r="A11" s="50" t="s">
        <v>37</v>
      </c>
      <c r="B11" s="17" t="s">
        <v>135</v>
      </c>
      <c r="C11" s="94">
        <v>1</v>
      </c>
      <c r="D11" s="94">
        <v>2</v>
      </c>
      <c r="H11" s="44">
        <f t="shared" si="1"/>
        <v>0.01</v>
      </c>
      <c r="I11" s="44">
        <f t="shared" si="2"/>
        <v>0.03</v>
      </c>
      <c r="J11" s="154">
        <f t="shared" si="3"/>
        <v>0.04</v>
      </c>
      <c r="K11" s="154">
        <f t="shared" si="4"/>
        <v>0.08</v>
      </c>
      <c r="L11" s="108">
        <v>-0.01</v>
      </c>
      <c r="M11" s="108">
        <v>0</v>
      </c>
      <c r="N11" s="17">
        <f t="shared" si="5"/>
        <v>0.99009900990099009</v>
      </c>
      <c r="O11" s="17">
        <f>(1-I11*SUM($N11:N11))/(1+I11)</f>
        <v>0.94203595116793226</v>
      </c>
      <c r="P11" s="17">
        <f t="shared" si="6"/>
        <v>0.96153846153846145</v>
      </c>
      <c r="Q11" s="17">
        <f>(1-K11*SUM($P11:P11))/(1+K11)</f>
        <v>0.85470085470085466</v>
      </c>
      <c r="R11" s="17">
        <f t="shared" si="7"/>
        <v>111592.80976641353</v>
      </c>
      <c r="S11" s="17">
        <f t="shared" si="8"/>
        <v>101932.13496106892</v>
      </c>
      <c r="T11" s="17">
        <f t="shared" si="9"/>
        <v>101816.23931623931</v>
      </c>
      <c r="U11" s="20">
        <f t="shared" si="10"/>
        <v>-2071.6936276503402</v>
      </c>
      <c r="V11" s="20">
        <f t="shared" si="11"/>
        <v>-1817.1948443539441</v>
      </c>
      <c r="W11" s="155">
        <f t="shared" si="12"/>
        <v>2071.6936276503257</v>
      </c>
      <c r="X11" s="155">
        <f t="shared" si="13"/>
        <v>1932.1349610689213</v>
      </c>
      <c r="Y11" s="155">
        <f t="shared" si="14"/>
        <v>1816.2393162393273</v>
      </c>
      <c r="Z11" s="158">
        <f t="shared" si="15"/>
        <v>-1.4551915228366852E-11</v>
      </c>
      <c r="AA11" s="158">
        <f t="shared" si="16"/>
        <v>-255.4543114110129</v>
      </c>
      <c r="AB11" s="158">
        <f t="shared" si="17"/>
        <v>254.49878329638159</v>
      </c>
      <c r="AC11" s="158">
        <f t="shared" si="18"/>
        <v>-0.95552811461675446</v>
      </c>
      <c r="AH11" s="159"/>
      <c r="AI11" s="159"/>
      <c r="AJ11" s="10"/>
      <c r="AK11" s="10"/>
      <c r="AL11" s="10"/>
      <c r="AM11" s="10"/>
      <c r="AN11" s="10"/>
      <c r="AO11" s="10"/>
    </row>
    <row r="12" spans="1:41" x14ac:dyDescent="0.3">
      <c r="A12" s="160">
        <f>-D5/(1+I3)</f>
        <v>-104807.6923076923</v>
      </c>
      <c r="B12" s="51"/>
      <c r="C12" s="51">
        <f>A12*I3</f>
        <v>-4192.3076923076924</v>
      </c>
      <c r="D12" s="51">
        <f>A12*(1+I3)</f>
        <v>-109000</v>
      </c>
      <c r="H12" s="44">
        <f t="shared" si="1"/>
        <v>0.02</v>
      </c>
      <c r="I12" s="44">
        <f t="shared" si="2"/>
        <v>0.04</v>
      </c>
      <c r="J12" s="154">
        <f t="shared" si="3"/>
        <v>0.05</v>
      </c>
      <c r="K12" s="154">
        <f t="shared" si="4"/>
        <v>0.09</v>
      </c>
      <c r="L12" s="108">
        <v>0</v>
      </c>
      <c r="M12" s="108">
        <v>0</v>
      </c>
      <c r="N12" s="17">
        <f t="shared" si="5"/>
        <v>0.98039215686274506</v>
      </c>
      <c r="O12" s="17">
        <f>(1-I12*SUM($N12:N12))/(1+I12)</f>
        <v>0.92383107088989447</v>
      </c>
      <c r="P12" s="17">
        <f t="shared" si="6"/>
        <v>0.95238095238095233</v>
      </c>
      <c r="Q12" s="17">
        <f>(1-K12*SUM($P12:P12))/(1+K12)</f>
        <v>0.83879423328964609</v>
      </c>
      <c r="R12" s="17">
        <f t="shared" si="7"/>
        <v>109521.1161387632</v>
      </c>
      <c r="S12" s="17">
        <f t="shared" si="8"/>
        <v>100000</v>
      </c>
      <c r="T12" s="17">
        <f t="shared" si="9"/>
        <v>99999.999999999985</v>
      </c>
      <c r="U12" s="20">
        <f>SUMPRODUCT($C$14:$D$14,N12:O12)-SUM($A$12:$A$13)</f>
        <v>0</v>
      </c>
      <c r="V12" s="20">
        <f>SUMPRODUCT($C$21:$D$21,N12:O12)-SUM($A$19:$A$20)</f>
        <v>0</v>
      </c>
      <c r="W12" s="155">
        <f t="shared" si="12"/>
        <v>0</v>
      </c>
      <c r="X12" s="155">
        <f t="shared" si="13"/>
        <v>0</v>
      </c>
      <c r="Y12" s="155">
        <f t="shared" si="14"/>
        <v>0</v>
      </c>
      <c r="Z12" s="158">
        <f t="shared" si="15"/>
        <v>0</v>
      </c>
      <c r="AA12" s="158">
        <f t="shared" si="16"/>
        <v>0</v>
      </c>
      <c r="AB12" s="158">
        <f t="shared" si="17"/>
        <v>0</v>
      </c>
      <c r="AC12" s="158">
        <f t="shared" si="18"/>
        <v>0</v>
      </c>
    </row>
    <row r="13" spans="1:41" x14ac:dyDescent="0.3">
      <c r="A13" s="161">
        <f>-(C12+C4)/(1+H3)</f>
        <v>-4713.4238310708897</v>
      </c>
      <c r="B13" s="55"/>
      <c r="C13" s="55">
        <f>A13*(1+H3)</f>
        <v>-4807.6923076923076</v>
      </c>
      <c r="D13" s="55"/>
      <c r="H13" s="44">
        <f t="shared" si="1"/>
        <v>0.03</v>
      </c>
      <c r="I13" s="44">
        <f t="shared" si="2"/>
        <v>0.05</v>
      </c>
      <c r="J13" s="154">
        <f t="shared" si="3"/>
        <v>6.0000000000000005E-2</v>
      </c>
      <c r="K13" s="154">
        <f t="shared" si="4"/>
        <v>9.9999999999999992E-2</v>
      </c>
      <c r="L13" s="108">
        <v>0.01</v>
      </c>
      <c r="M13" s="108">
        <v>0</v>
      </c>
      <c r="N13" s="17">
        <f t="shared" si="5"/>
        <v>0.970873786407767</v>
      </c>
      <c r="O13" s="17">
        <f>(1-I13*SUM($N13:N13))/(1+I13)</f>
        <v>0.90614886731391586</v>
      </c>
      <c r="P13" s="17">
        <f t="shared" si="6"/>
        <v>0.94339622641509424</v>
      </c>
      <c r="Q13" s="17">
        <f>(1-K13*SUM($P13:P13))/(1+K13)</f>
        <v>0.82332761578044589</v>
      </c>
      <c r="R13" s="17">
        <f t="shared" si="7"/>
        <v>107508.09061488674</v>
      </c>
      <c r="S13" s="17">
        <f t="shared" si="8"/>
        <v>98122.97734627832</v>
      </c>
      <c r="T13" s="17">
        <f t="shared" si="9"/>
        <v>98233.276157804445</v>
      </c>
      <c r="U13" s="20">
        <f t="shared" si="10"/>
        <v>2013.0255238764512</v>
      </c>
      <c r="V13" s="20">
        <f t="shared" si="11"/>
        <v>1765.8336046022159</v>
      </c>
      <c r="W13" s="155">
        <f t="shared" si="12"/>
        <v>-2013.0255238764657</v>
      </c>
      <c r="X13" s="155">
        <f t="shared" si="13"/>
        <v>-1877.0226537216804</v>
      </c>
      <c r="Y13" s="155">
        <f t="shared" si="14"/>
        <v>-1766.7238421955408</v>
      </c>
      <c r="Z13" s="158">
        <f t="shared" si="15"/>
        <v>-1.4551915228366852E-11</v>
      </c>
      <c r="AA13" s="158">
        <f t="shared" si="16"/>
        <v>246.30168168091041</v>
      </c>
      <c r="AB13" s="158">
        <f t="shared" si="17"/>
        <v>-247.19191927424981</v>
      </c>
      <c r="AC13" s="158">
        <f t="shared" si="18"/>
        <v>-0.89023759332485497</v>
      </c>
    </row>
    <row r="14" spans="1:41" x14ac:dyDescent="0.3">
      <c r="A14" s="51">
        <f t="shared" ref="A14:B14" si="19">SUM(A12:A13)</f>
        <v>-109521.11613876319</v>
      </c>
      <c r="B14" s="51">
        <f t="shared" si="19"/>
        <v>0</v>
      </c>
      <c r="C14" s="51">
        <f>SUM(C12:C13)</f>
        <v>-9000</v>
      </c>
      <c r="D14" s="51">
        <f>SUM(D12:D13)</f>
        <v>-109000</v>
      </c>
      <c r="H14" s="44">
        <f t="shared" si="1"/>
        <v>0.04</v>
      </c>
      <c r="I14" s="44">
        <f t="shared" si="2"/>
        <v>0.06</v>
      </c>
      <c r="J14" s="154">
        <f t="shared" si="3"/>
        <v>7.0000000000000007E-2</v>
      </c>
      <c r="K14" s="154">
        <f t="shared" si="4"/>
        <v>0.11</v>
      </c>
      <c r="L14" s="108">
        <v>0.02</v>
      </c>
      <c r="M14" s="108">
        <v>0</v>
      </c>
      <c r="N14" s="17">
        <f t="shared" si="5"/>
        <v>0.96153846153846145</v>
      </c>
      <c r="O14" s="17">
        <f>(1-I14*SUM($N14:N14))/(1+I14)</f>
        <v>0.88896952104499272</v>
      </c>
      <c r="P14" s="17">
        <f t="shared" si="6"/>
        <v>0.93457943925233644</v>
      </c>
      <c r="Q14" s="17">
        <f>(1-K14*SUM($P14:P14))/(1+K14)</f>
        <v>0.8082849204344531</v>
      </c>
      <c r="R14" s="17">
        <f t="shared" si="7"/>
        <v>105551.52394775036</v>
      </c>
      <c r="S14" s="17">
        <f t="shared" si="8"/>
        <v>96298.984034833091</v>
      </c>
      <c r="T14" s="17">
        <f t="shared" si="9"/>
        <v>96514.271280626417</v>
      </c>
      <c r="U14" s="20">
        <f t="shared" si="10"/>
        <v>3969.5921910128236</v>
      </c>
      <c r="V14" s="20">
        <f t="shared" si="11"/>
        <v>3482.2381472700654</v>
      </c>
      <c r="W14" s="155">
        <f t="shared" si="12"/>
        <v>-3969.5921910128382</v>
      </c>
      <c r="X14" s="155">
        <f t="shared" si="13"/>
        <v>-3701.0159651669092</v>
      </c>
      <c r="Y14" s="155">
        <f t="shared" si="14"/>
        <v>-3485.7287193735683</v>
      </c>
      <c r="Z14" s="158">
        <f t="shared" si="15"/>
        <v>-1.4551915228366852E-11</v>
      </c>
      <c r="AA14" s="158">
        <f t="shared" si="16"/>
        <v>483.86347163925529</v>
      </c>
      <c r="AB14" s="158">
        <f t="shared" si="17"/>
        <v>-487.35404374277277</v>
      </c>
      <c r="AC14" s="158">
        <f t="shared" si="18"/>
        <v>-3.4905721035029273</v>
      </c>
    </row>
    <row r="15" spans="1:41" x14ac:dyDescent="0.3">
      <c r="H15" s="44">
        <f t="shared" si="1"/>
        <v>0.05</v>
      </c>
      <c r="I15" s="44">
        <f t="shared" si="2"/>
        <v>7.0000000000000007E-2</v>
      </c>
      <c r="J15" s="154">
        <f t="shared" si="3"/>
        <v>0.08</v>
      </c>
      <c r="K15" s="154">
        <f t="shared" si="4"/>
        <v>0.12</v>
      </c>
      <c r="L15" s="108">
        <v>0.03</v>
      </c>
      <c r="M15" s="108">
        <v>0</v>
      </c>
      <c r="N15" s="17">
        <f t="shared" si="5"/>
        <v>0.95238095238095233</v>
      </c>
      <c r="O15" s="17">
        <f>(1-I15*SUM($N15:N15))/(1+I15)</f>
        <v>0.87227414330218067</v>
      </c>
      <c r="P15" s="17">
        <f t="shared" si="6"/>
        <v>0.92592592592592582</v>
      </c>
      <c r="Q15" s="17">
        <f>(1-K15*SUM($P15:P15))/(1+K15)</f>
        <v>0.79365079365079361</v>
      </c>
      <c r="R15" s="17">
        <f t="shared" si="7"/>
        <v>103649.31019136625</v>
      </c>
      <c r="S15" s="17">
        <f t="shared" si="8"/>
        <v>94526.034712950612</v>
      </c>
      <c r="T15" s="17">
        <f t="shared" si="9"/>
        <v>94841.269841269837</v>
      </c>
      <c r="U15" s="20">
        <f t="shared" si="10"/>
        <v>5871.8059473969333</v>
      </c>
      <c r="V15" s="20">
        <f t="shared" si="11"/>
        <v>5151.0555144812388</v>
      </c>
      <c r="W15" s="155">
        <f t="shared" si="12"/>
        <v>-5871.8059473969479</v>
      </c>
      <c r="X15" s="155">
        <f t="shared" si="13"/>
        <v>-5473.9652870493883</v>
      </c>
      <c r="Y15" s="155">
        <f t="shared" si="14"/>
        <v>-5158.7301587301481</v>
      </c>
      <c r="Z15" s="158">
        <f t="shared" si="15"/>
        <v>-1.4551915228366852E-11</v>
      </c>
      <c r="AA15" s="158">
        <f t="shared" si="16"/>
        <v>713.07578866678523</v>
      </c>
      <c r="AB15" s="158">
        <f t="shared" si="17"/>
        <v>-720.7504329157091</v>
      </c>
      <c r="AC15" s="158">
        <f t="shared" si="18"/>
        <v>-7.674644248909317</v>
      </c>
    </row>
    <row r="16" spans="1:41" x14ac:dyDescent="0.3">
      <c r="A16" s="381" t="s">
        <v>170</v>
      </c>
      <c r="B16" s="381"/>
      <c r="C16" s="381"/>
      <c r="D16" s="381"/>
      <c r="H16" s="44">
        <f t="shared" si="1"/>
        <v>0.06</v>
      </c>
      <c r="I16" s="44">
        <f t="shared" si="2"/>
        <v>0.08</v>
      </c>
      <c r="J16" s="154">
        <f t="shared" si="3"/>
        <v>0.09</v>
      </c>
      <c r="K16" s="154">
        <f t="shared" si="4"/>
        <v>0.13</v>
      </c>
      <c r="L16" s="108">
        <v>0.04</v>
      </c>
      <c r="M16" s="108">
        <v>0</v>
      </c>
      <c r="N16" s="17">
        <f t="shared" si="5"/>
        <v>0.94339622641509424</v>
      </c>
      <c r="O16" s="17">
        <f>(1-I16*SUM($N16:N16))/(1+I16)</f>
        <v>0.85604472396925224</v>
      </c>
      <c r="P16" s="17">
        <f t="shared" si="6"/>
        <v>0.9174311926605504</v>
      </c>
      <c r="Q16" s="17">
        <f>(1-K16*SUM($P16:P16))/(1+K16)</f>
        <v>0.77941057075586595</v>
      </c>
      <c r="R16" s="17">
        <f t="shared" si="7"/>
        <v>101799.44095038433</v>
      </c>
      <c r="S16" s="17">
        <f t="shared" si="8"/>
        <v>92802.236198462604</v>
      </c>
      <c r="T16" s="17">
        <f t="shared" si="9"/>
        <v>93212.632946334343</v>
      </c>
      <c r="U16" s="20">
        <f t="shared" si="10"/>
        <v>7721.6751883788529</v>
      </c>
      <c r="V16" s="20">
        <f t="shared" si="11"/>
        <v>6774.0423255457135</v>
      </c>
      <c r="W16" s="155">
        <f t="shared" si="12"/>
        <v>-7721.6751883788675</v>
      </c>
      <c r="X16" s="155">
        <f t="shared" si="13"/>
        <v>-7197.7638015373959</v>
      </c>
      <c r="Y16" s="155">
        <f t="shared" si="14"/>
        <v>-6787.3670536656427</v>
      </c>
      <c r="Z16" s="158">
        <f t="shared" si="15"/>
        <v>-1.4551915228366852E-11</v>
      </c>
      <c r="AA16" s="158">
        <f t="shared" si="16"/>
        <v>934.30813471321017</v>
      </c>
      <c r="AB16" s="158">
        <f t="shared" si="17"/>
        <v>-947.63286283315392</v>
      </c>
      <c r="AC16" s="158">
        <f t="shared" si="18"/>
        <v>-13.324728119929205</v>
      </c>
    </row>
    <row r="17" spans="1:37" x14ac:dyDescent="0.3">
      <c r="C17" s="380" t="s">
        <v>136</v>
      </c>
      <c r="D17" s="380"/>
    </row>
    <row r="18" spans="1:37" x14ac:dyDescent="0.3">
      <c r="A18" s="50" t="s">
        <v>37</v>
      </c>
      <c r="B18" s="17" t="s">
        <v>135</v>
      </c>
      <c r="C18" s="94">
        <v>1</v>
      </c>
      <c r="D18" s="94">
        <v>2</v>
      </c>
      <c r="AF18" s="105"/>
    </row>
    <row r="19" spans="1:37" x14ac:dyDescent="0.3">
      <c r="A19" s="206">
        <v>-91365.672101195596</v>
      </c>
      <c r="B19" s="51"/>
      <c r="C19" s="51">
        <f>A19*I3</f>
        <v>-3654.6268840478238</v>
      </c>
      <c r="D19" s="51">
        <f>A19*(1+I3)</f>
        <v>-95020.298985243426</v>
      </c>
      <c r="AD19" s="105"/>
      <c r="AE19" s="105"/>
      <c r="AG19" s="105"/>
      <c r="AH19" s="105"/>
      <c r="AI19" s="105"/>
      <c r="AJ19" s="8"/>
      <c r="AK19" s="8"/>
    </row>
    <row r="20" spans="1:37" x14ac:dyDescent="0.3">
      <c r="A20" s="161">
        <f>-(C19+C4)/(1+H3)</f>
        <v>-5240.5618783844857</v>
      </c>
      <c r="B20" s="55"/>
      <c r="C20" s="55">
        <f>A20*(1+H3)</f>
        <v>-5345.3731159521758</v>
      </c>
      <c r="D20" s="55"/>
      <c r="AB20" s="105"/>
      <c r="AC20" s="105"/>
      <c r="AD20" s="105"/>
      <c r="AE20" s="105"/>
      <c r="AF20" s="105"/>
      <c r="AG20" s="105"/>
      <c r="AH20" s="105"/>
      <c r="AI20" s="105"/>
    </row>
    <row r="21" spans="1:37" x14ac:dyDescent="0.3">
      <c r="A21" s="51">
        <f t="shared" ref="A21:B21" si="20">SUM(A19:A20)</f>
        <v>-96606.23397958008</v>
      </c>
      <c r="B21" s="51">
        <f t="shared" si="20"/>
        <v>0</v>
      </c>
      <c r="C21" s="51">
        <f>SUM(C19:C20)</f>
        <v>-9000</v>
      </c>
      <c r="D21" s="51">
        <f>SUM(D19:D20)</f>
        <v>-95020.298985243426</v>
      </c>
    </row>
    <row r="23" spans="1:37" x14ac:dyDescent="0.3">
      <c r="B23" s="17" t="s">
        <v>173</v>
      </c>
      <c r="C23" s="367" t="s">
        <v>172</v>
      </c>
      <c r="D23" s="367"/>
    </row>
    <row r="24" spans="1:37" x14ac:dyDescent="0.3">
      <c r="C24" s="76">
        <v>1</v>
      </c>
      <c r="D24" s="76">
        <v>2</v>
      </c>
      <c r="E24" s="17" t="s">
        <v>171</v>
      </c>
    </row>
    <row r="25" spans="1:37" x14ac:dyDescent="0.3">
      <c r="B25" s="50" t="s">
        <v>194</v>
      </c>
      <c r="C25" s="162">
        <f>('Exkurs Nebenrechnungen'!G18)</f>
        <v>-0.46205507609010965</v>
      </c>
      <c r="D25" s="163">
        <f>('Exkurs Nebenrechnungen'!G24)</f>
        <v>-19.955805386503926</v>
      </c>
      <c r="E25" s="164">
        <f>W4</f>
        <v>-20.416892017194186</v>
      </c>
    </row>
    <row r="26" spans="1:37" x14ac:dyDescent="0.3">
      <c r="B26" s="50" t="s">
        <v>193</v>
      </c>
      <c r="C26" s="165">
        <f>('Exkurs Nebenrechnungen'!L18)</f>
        <v>4.5474735088646412E-12</v>
      </c>
      <c r="D26" s="165">
        <f>('Exkurs Nebenrechnungen'!L24)</f>
        <v>-19.040401469697827</v>
      </c>
      <c r="E26" s="164">
        <f>('Exkurs Nebenrechnungen'!L31)</f>
        <v>-19.039477448401158</v>
      </c>
    </row>
    <row r="27" spans="1:37" x14ac:dyDescent="0.3">
      <c r="B27" s="50" t="s">
        <v>174</v>
      </c>
      <c r="C27" s="166">
        <f>('Exkurs Nebenrechnungen'!B18)</f>
        <v>0</v>
      </c>
      <c r="D27" s="166">
        <f>('Exkurs Nebenrechnungen'!B24)</f>
        <v>-17.910108727461193</v>
      </c>
      <c r="E27" s="164">
        <f>Y4</f>
        <v>-17.909276745893294</v>
      </c>
    </row>
    <row r="28" spans="1:37" x14ac:dyDescent="0.3">
      <c r="B28" s="50" t="s">
        <v>175</v>
      </c>
      <c r="C28" s="166">
        <f>('Exkurs Nebenrechnungen'!B18)</f>
        <v>0</v>
      </c>
      <c r="D28" s="166">
        <f>('Exkurs Nebenrechnungen'!B24)</f>
        <v>-17.910108727461193</v>
      </c>
      <c r="E28" s="164">
        <f>E27</f>
        <v>-17.909276745893294</v>
      </c>
    </row>
    <row r="66" spans="1:35" s="9" customFormat="1" x14ac:dyDescent="0.3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</row>
    <row r="67" spans="1:35" x14ac:dyDescent="0.3">
      <c r="B67" s="379" t="s">
        <v>166</v>
      </c>
      <c r="C67" s="379"/>
      <c r="D67" s="379"/>
      <c r="E67" s="379"/>
      <c r="F67" s="379"/>
      <c r="G67" s="379" t="s">
        <v>164</v>
      </c>
      <c r="H67" s="379"/>
      <c r="I67" s="379"/>
      <c r="J67" s="379"/>
      <c r="K67" s="379"/>
    </row>
    <row r="68" spans="1:35" ht="55.8" x14ac:dyDescent="0.3">
      <c r="A68" s="344" t="s">
        <v>160</v>
      </c>
      <c r="B68" s="285" t="s">
        <v>176</v>
      </c>
      <c r="C68" s="285" t="s">
        <v>177</v>
      </c>
      <c r="D68" s="345" t="s">
        <v>167</v>
      </c>
      <c r="E68" s="345" t="s">
        <v>370</v>
      </c>
      <c r="F68" s="346" t="s">
        <v>371</v>
      </c>
      <c r="G68" s="283" t="s">
        <v>165</v>
      </c>
      <c r="H68" s="285" t="s">
        <v>161</v>
      </c>
      <c r="I68" s="285" t="s">
        <v>162</v>
      </c>
      <c r="J68" s="285" t="s">
        <v>163</v>
      </c>
      <c r="K68" s="346" t="s">
        <v>372</v>
      </c>
    </row>
    <row r="69" spans="1:35" x14ac:dyDescent="0.3">
      <c r="A69" s="347"/>
      <c r="B69" s="348">
        <f t="shared" ref="B69:B72" si="21">$B$74+D69</f>
        <v>-2.0000000000000004E-2</v>
      </c>
      <c r="C69" s="348">
        <f t="shared" ref="C69:C72" si="22">$C$74+D69</f>
        <v>0</v>
      </c>
      <c r="D69" s="349">
        <v>-0.05</v>
      </c>
      <c r="E69" s="100">
        <f>T90</f>
        <v>109615.38461538461</v>
      </c>
      <c r="F69" s="350">
        <f>Y91</f>
        <v>-20.63310120809183</v>
      </c>
      <c r="G69" s="342" t="str">
        <f>A91</f>
        <v>Swapportfolio_Marktwertkalkül_SPR_0BP</v>
      </c>
      <c r="H69" s="287">
        <f>SUM(A89:A90)</f>
        <v>-110634.65068059161</v>
      </c>
      <c r="I69" s="287">
        <f t="shared" ref="I69:J69" si="23">C91</f>
        <v>-9000</v>
      </c>
      <c r="J69" s="287">
        <f t="shared" si="23"/>
        <v>-110205.34432854244</v>
      </c>
      <c r="K69" s="350">
        <f>V91</f>
        <v>20.633101208077278</v>
      </c>
    </row>
    <row r="70" spans="1:35" x14ac:dyDescent="0.3">
      <c r="A70" s="347"/>
      <c r="B70" s="348">
        <f t="shared" si="21"/>
        <v>-1.0000000000000002E-2</v>
      </c>
      <c r="C70" s="348">
        <f t="shared" si="22"/>
        <v>1.0000000000000002E-2</v>
      </c>
      <c r="D70" s="349">
        <v>-0.04</v>
      </c>
      <c r="E70" s="100">
        <f>T93</f>
        <v>107581.32956152759</v>
      </c>
      <c r="F70" s="350">
        <f>Y94</f>
        <v>-20.045921775221359</v>
      </c>
      <c r="G70" s="342" t="str">
        <f>A94</f>
        <v>Swapportfolio_Marktwertkalkül_SPR_100BP</v>
      </c>
      <c r="H70" s="287">
        <f>SUM(A92:A93)</f>
        <v>-107610.52123443355</v>
      </c>
      <c r="I70" s="287">
        <f t="shared" ref="I70:J70" si="24">C94</f>
        <v>-9000</v>
      </c>
      <c r="J70" s="287">
        <f t="shared" si="24"/>
        <v>-106931.87849539501</v>
      </c>
      <c r="K70" s="350">
        <f>V94</f>
        <v>20.045921775235911</v>
      </c>
    </row>
    <row r="71" spans="1:35" x14ac:dyDescent="0.3">
      <c r="A71" s="347"/>
      <c r="B71" s="348">
        <f t="shared" si="21"/>
        <v>0</v>
      </c>
      <c r="C71" s="348">
        <f t="shared" si="22"/>
        <v>2.0000000000000004E-2</v>
      </c>
      <c r="D71" s="349">
        <v>-0.03</v>
      </c>
      <c r="E71" s="100">
        <f>T96</f>
        <v>105604.8834628191</v>
      </c>
      <c r="F71" s="350">
        <f>Y97</f>
        <v>-19.480965199370985</v>
      </c>
      <c r="G71" s="342" t="str">
        <f>A97</f>
        <v>Swapportfolio_Marktwertkalkül_SPR_200BP</v>
      </c>
      <c r="H71" s="287">
        <f>SUM(A95:A96)</f>
        <v>-104700.84538208725</v>
      </c>
      <c r="I71" s="287">
        <f t="shared" ref="I71:J71" si="25">C97</f>
        <v>-9000</v>
      </c>
      <c r="J71" s="287">
        <f t="shared" si="25"/>
        <v>-103782.30283807975</v>
      </c>
      <c r="K71" s="350">
        <f>V97</f>
        <v>19.480965199414641</v>
      </c>
    </row>
    <row r="72" spans="1:35" x14ac:dyDescent="0.3">
      <c r="A72" s="347"/>
      <c r="B72" s="348">
        <f t="shared" si="21"/>
        <v>9.9999999999999985E-3</v>
      </c>
      <c r="C72" s="348">
        <f t="shared" si="22"/>
        <v>3.0000000000000002E-2</v>
      </c>
      <c r="D72" s="349">
        <v>-0.02</v>
      </c>
      <c r="E72" s="100">
        <f>T99</f>
        <v>103683.87623627619</v>
      </c>
      <c r="F72" s="350">
        <f>Y100</f>
        <v>-18.937187051749788</v>
      </c>
      <c r="G72" s="342" t="str">
        <f>A100</f>
        <v>Swapportfolio_Marktwertkalkül_SPR_300BP</v>
      </c>
      <c r="H72" s="287">
        <f>SUM(A98:A99)</f>
        <v>-101900.24403868962</v>
      </c>
      <c r="I72" s="287">
        <f t="shared" ref="I72:J72" si="26">C100</f>
        <v>-9000</v>
      </c>
      <c r="J72" s="287">
        <f t="shared" si="26"/>
        <v>-100750.79477167547</v>
      </c>
      <c r="K72" s="350">
        <f>V100</f>
        <v>18.93718705176434</v>
      </c>
    </row>
    <row r="73" spans="1:35" x14ac:dyDescent="0.3">
      <c r="A73" s="347"/>
      <c r="B73" s="348">
        <f>$B$74+D73</f>
        <v>1.9999999999999997E-2</v>
      </c>
      <c r="C73" s="348">
        <f>$C$74+D73</f>
        <v>0.04</v>
      </c>
      <c r="D73" s="349">
        <v>-0.01</v>
      </c>
      <c r="E73" s="100">
        <f>T102</f>
        <v>101816.23931623931</v>
      </c>
      <c r="F73" s="350">
        <f>Y103</f>
        <v>-18.413601344218478</v>
      </c>
      <c r="G73" s="342" t="str">
        <f>A103</f>
        <v>Swapportfolio_Marktwertkalkül_SPR_400BP</v>
      </c>
      <c r="H73" s="287">
        <f>SUM(A101:A102)</f>
        <v>-99203.639104726186</v>
      </c>
      <c r="I73" s="287">
        <f t="shared" ref="I73:J73" si="27">C103</f>
        <v>-9000</v>
      </c>
      <c r="J73" s="287">
        <f t="shared" si="27"/>
        <v>-97831.857512544433</v>
      </c>
      <c r="K73" s="350">
        <f>V103</f>
        <v>18.41360134423303</v>
      </c>
    </row>
    <row r="74" spans="1:35" x14ac:dyDescent="0.3">
      <c r="A74" s="351" t="str">
        <f>K3&amp;" Ausgangspunkt"</f>
        <v>0,09 Ausgangspunkt</v>
      </c>
      <c r="B74" s="349">
        <v>0.03</v>
      </c>
      <c r="C74" s="349">
        <v>0.05</v>
      </c>
      <c r="D74" s="349">
        <v>0</v>
      </c>
      <c r="E74" s="100">
        <f>T105</f>
        <v>99999.999999999985</v>
      </c>
      <c r="F74" s="350">
        <f>Y106</f>
        <v>-17.909276745893294</v>
      </c>
      <c r="G74" s="342" t="str">
        <f>A106</f>
        <v>Swapportfolio_Marktwertkalkül_SPR_500BP</v>
      </c>
      <c r="H74" s="287">
        <f>SUM(A104:A105)</f>
        <v>-96606.233979744502</v>
      </c>
      <c r="I74" s="287">
        <f t="shared" ref="I74:J74" si="28">C106</f>
        <v>-9000</v>
      </c>
      <c r="J74" s="287">
        <f t="shared" si="28"/>
        <v>-95020.298985421396</v>
      </c>
      <c r="K74" s="350">
        <f>V106</f>
        <v>17.909276745922398</v>
      </c>
    </row>
    <row r="75" spans="1:35" x14ac:dyDescent="0.3">
      <c r="A75" s="347"/>
      <c r="B75" s="348">
        <f t="shared" ref="B75:B79" si="29">$B$74+D75</f>
        <v>0.04</v>
      </c>
      <c r="C75" s="348">
        <f t="shared" ref="C75:C79" si="30">$C$74+D75</f>
        <v>6.0000000000000005E-2</v>
      </c>
      <c r="D75" s="349">
        <v>0.01</v>
      </c>
      <c r="E75" s="100">
        <f>T108</f>
        <v>98233.276157804445</v>
      </c>
      <c r="F75" s="350">
        <f>Y109</f>
        <v>-17.423333077749703</v>
      </c>
      <c r="G75" s="342" t="str">
        <f>A109</f>
        <v>Swapportfolio_Marktwertkalkül_SPR_600BP</v>
      </c>
      <c r="H75" s="287">
        <f>SUM(A107:A108)</f>
        <v>-94103.495508695996</v>
      </c>
      <c r="I75" s="287">
        <f t="shared" ref="I75:J75" si="31">C109</f>
        <v>-9000</v>
      </c>
      <c r="J75" s="287">
        <f t="shared" si="31"/>
        <v>-92311.212281249711</v>
      </c>
      <c r="K75" s="350">
        <f>V109</f>
        <v>17.423333077778807</v>
      </c>
    </row>
    <row r="76" spans="1:35" x14ac:dyDescent="0.3">
      <c r="A76" s="145"/>
      <c r="B76" s="348">
        <f t="shared" si="29"/>
        <v>0.05</v>
      </c>
      <c r="C76" s="348">
        <f t="shared" si="30"/>
        <v>7.0000000000000007E-2</v>
      </c>
      <c r="D76" s="349">
        <v>0.02</v>
      </c>
      <c r="E76" s="100">
        <f>T111</f>
        <v>96514.271280626417</v>
      </c>
      <c r="F76" s="350">
        <f>Y112</f>
        <v>-16.954938061680878</v>
      </c>
      <c r="G76" s="342" t="str">
        <f>A112</f>
        <v>Swapportfolio_Marktwertkalkül_SPR_700BP</v>
      </c>
      <c r="H76" s="287">
        <f>SUM(A110:A111)</f>
        <v>-91691.137238967334</v>
      </c>
      <c r="I76" s="287">
        <f t="shared" ref="I76:J76" si="32">C112</f>
        <v>-9000</v>
      </c>
      <c r="J76" s="287">
        <f t="shared" si="32"/>
        <v>-89699.957533772002</v>
      </c>
      <c r="K76" s="350">
        <f>V112</f>
        <v>16.954938061651774</v>
      </c>
    </row>
    <row r="77" spans="1:35" x14ac:dyDescent="0.3">
      <c r="A77" s="145"/>
      <c r="B77" s="348">
        <f t="shared" si="29"/>
        <v>0.06</v>
      </c>
      <c r="C77" s="348">
        <f t="shared" si="30"/>
        <v>0.08</v>
      </c>
      <c r="D77" s="349">
        <v>0.03</v>
      </c>
      <c r="E77" s="100">
        <f>T114</f>
        <v>94841.269841269837</v>
      </c>
      <c r="F77" s="350">
        <f>Y115</f>
        <v>-16.503304303725599</v>
      </c>
      <c r="G77" s="342" t="str">
        <f>A115</f>
        <v>Swapportfolio_Marktwertkalkül_SPR_800BP</v>
      </c>
      <c r="H77" s="287">
        <f>SUM(A113:A114)</f>
        <v>-89365.103883649193</v>
      </c>
      <c r="I77" s="287">
        <f t="shared" ref="I77:J77" si="33">C115</f>
        <v>-9000</v>
      </c>
      <c r="J77" s="287">
        <f t="shared" si="33"/>
        <v>-87182.1451018113</v>
      </c>
      <c r="K77" s="350">
        <f>V115</f>
        <v>16.503304303681944</v>
      </c>
    </row>
    <row r="78" spans="1:35" x14ac:dyDescent="0.3">
      <c r="A78" s="145"/>
      <c r="B78" s="348">
        <f t="shared" si="29"/>
        <v>7.0000000000000007E-2</v>
      </c>
      <c r="C78" s="348">
        <f t="shared" si="30"/>
        <v>0.09</v>
      </c>
      <c r="D78" s="349">
        <v>0.04</v>
      </c>
      <c r="E78" s="100">
        <f>T117</f>
        <v>93212.632946334343</v>
      </c>
      <c r="F78" s="350">
        <f>Y118</f>
        <v>-16.067686492955545</v>
      </c>
      <c r="G78" s="342" t="str">
        <f>A118</f>
        <v>Swapportfolio_Marktwertkalkül_SPR_900BP</v>
      </c>
      <c r="H78" s="287">
        <f>SUM(A116:A117)</f>
        <v>-87121.556894471723</v>
      </c>
      <c r="I78" s="287">
        <f t="shared" ref="I78:J78" si="34">C118</f>
        <v>-9000</v>
      </c>
      <c r="J78" s="287">
        <f t="shared" si="34"/>
        <v>-84753.619952709792</v>
      </c>
      <c r="K78" s="350">
        <f>V118</f>
        <v>16.067686492984649</v>
      </c>
    </row>
    <row r="79" spans="1:35" x14ac:dyDescent="0.3">
      <c r="A79" s="148"/>
      <c r="B79" s="352">
        <f t="shared" si="29"/>
        <v>0.08</v>
      </c>
      <c r="C79" s="352">
        <f t="shared" si="30"/>
        <v>0.1</v>
      </c>
      <c r="D79" s="353">
        <v>0.05</v>
      </c>
      <c r="E79" s="55">
        <f>T120</f>
        <v>91626.794258373193</v>
      </c>
      <c r="F79" s="354">
        <f>Y121</f>
        <v>-15.64737879781751</v>
      </c>
      <c r="G79" s="343" t="str">
        <f>A121</f>
        <v>Swapportfolio_Marktwertkalkül_SPR_1000BP</v>
      </c>
      <c r="H79" s="291">
        <f>SUM(A119:A120)</f>
        <v>-84956.86105169011</v>
      </c>
      <c r="I79" s="291">
        <f t="shared" ref="I79:J79" si="35">C121</f>
        <v>-9000</v>
      </c>
      <c r="J79" s="291">
        <f t="shared" si="35"/>
        <v>-82410.447146564155</v>
      </c>
      <c r="K79" s="354">
        <f>V121</f>
        <v>15.647378797846613</v>
      </c>
    </row>
    <row r="89" spans="1:29" ht="69.599999999999994" x14ac:dyDescent="0.3">
      <c r="A89" s="169">
        <v>-105966.67723898312</v>
      </c>
      <c r="B89" s="62"/>
      <c r="C89" s="62">
        <f>A89*$I$3</f>
        <v>-4238.6670895593252</v>
      </c>
      <c r="D89" s="62">
        <f>A89*(1+$I$3)</f>
        <v>-110205.34432854244</v>
      </c>
      <c r="G89" s="17" t="s">
        <v>47</v>
      </c>
      <c r="H89" s="17">
        <v>1</v>
      </c>
      <c r="I89" s="17">
        <v>2</v>
      </c>
      <c r="J89" s="17">
        <v>1</v>
      </c>
      <c r="K89" s="17">
        <v>2</v>
      </c>
      <c r="L89" s="153" t="s">
        <v>128</v>
      </c>
      <c r="M89" s="168" t="s">
        <v>129</v>
      </c>
      <c r="N89" s="168" t="s">
        <v>145</v>
      </c>
      <c r="O89" s="168" t="s">
        <v>146</v>
      </c>
      <c r="P89" s="168" t="s">
        <v>147</v>
      </c>
      <c r="Q89" s="168" t="s">
        <v>148</v>
      </c>
      <c r="R89" s="168" t="s">
        <v>130</v>
      </c>
      <c r="S89" s="168" t="s">
        <v>131</v>
      </c>
      <c r="T89" s="168" t="s">
        <v>98</v>
      </c>
      <c r="U89" s="168" t="s">
        <v>140</v>
      </c>
      <c r="V89" s="170" t="str">
        <f>A91</f>
        <v>Swapportfolio_Marktwertkalkül_SPR_0BP</v>
      </c>
      <c r="W89" s="171" t="s">
        <v>132</v>
      </c>
      <c r="X89" s="171" t="s">
        <v>133</v>
      </c>
      <c r="Y89" s="171" t="s">
        <v>134</v>
      </c>
      <c r="Z89" s="171" t="s">
        <v>142</v>
      </c>
      <c r="AA89" s="171" t="s">
        <v>141</v>
      </c>
      <c r="AB89" s="171" t="s">
        <v>143</v>
      </c>
      <c r="AC89" s="171" t="s">
        <v>144</v>
      </c>
    </row>
    <row r="90" spans="1:29" x14ac:dyDescent="0.3">
      <c r="A90" s="172">
        <f>-($C$4+C89)/(1+$H$3)</f>
        <v>-4667.9734416085048</v>
      </c>
      <c r="B90" s="62"/>
      <c r="C90" s="62">
        <f>A90*(1+$H$3)</f>
        <v>-4761.3329104406748</v>
      </c>
      <c r="D90" s="62"/>
      <c r="G90" s="17" t="s">
        <v>47</v>
      </c>
      <c r="H90" s="44">
        <f>0.02+L90</f>
        <v>0.02</v>
      </c>
      <c r="I90" s="44">
        <f>0.04+L90</f>
        <v>0.04</v>
      </c>
      <c r="J90" s="173">
        <f>0.05+L90+M90</f>
        <v>0</v>
      </c>
      <c r="K90" s="154">
        <f>0.09+L90+M90</f>
        <v>3.9999999999999994E-2</v>
      </c>
      <c r="L90" s="108">
        <v>0</v>
      </c>
      <c r="M90" s="108">
        <v>-0.05</v>
      </c>
      <c r="N90" s="17">
        <f>1/(1+H90)</f>
        <v>0.98039215686274506</v>
      </c>
      <c r="O90" s="17">
        <f>(1-I90*SUM($N90:N90))/(1+I90)</f>
        <v>0.92383107088989447</v>
      </c>
      <c r="P90" s="17">
        <f t="shared" ref="P90" si="36">1/(1+J90)</f>
        <v>1</v>
      </c>
      <c r="Q90" s="17">
        <f>(1-K90*SUM($P90:P90))/(1+K90)</f>
        <v>0.92307692307692302</v>
      </c>
      <c r="R90" s="17">
        <f>SUMPRODUCT(N90:O90,$C$5:$D$5)</f>
        <v>109521.1161387632</v>
      </c>
      <c r="S90" s="17">
        <f>SUMPRODUCT(N90:O90,$C$6:$D$6)</f>
        <v>100000</v>
      </c>
      <c r="T90" s="17">
        <f>SUMPRODUCT(P90:Q90,$C$4:$D$4)</f>
        <v>109615.38461538461</v>
      </c>
      <c r="U90" s="20">
        <f>SUMPRODUCT($C$14:$D$14,N90:O90)-SUM($A$12:$A$13)</f>
        <v>0</v>
      </c>
      <c r="V90" s="20">
        <f>SUMPRODUCT($C$21:$D$21,N90:O90)-SUM($A$19:$A$20)</f>
        <v>0</v>
      </c>
    </row>
    <row r="91" spans="1:29" x14ac:dyDescent="0.3">
      <c r="A91" s="62" t="s">
        <v>150</v>
      </c>
      <c r="B91" s="62">
        <v>0</v>
      </c>
      <c r="C91" s="62">
        <f>SUM(C89:C90)</f>
        <v>-9000</v>
      </c>
      <c r="D91" s="62">
        <f>SUM(D89:D90)</f>
        <v>-110205.34432854244</v>
      </c>
      <c r="H91" s="44">
        <f>0.02+L91</f>
        <v>2.01E-2</v>
      </c>
      <c r="I91" s="44">
        <f>0.04+L91</f>
        <v>4.0100000000000004E-2</v>
      </c>
      <c r="J91" s="154">
        <f>0.05+L91+M91</f>
        <v>1.0000000000000286E-4</v>
      </c>
      <c r="K91" s="154">
        <f>0.09+L91+M91</f>
        <v>4.0099999999999997E-2</v>
      </c>
      <c r="L91" s="173">
        <v>1E-4</v>
      </c>
      <c r="M91" s="173">
        <f>M90</f>
        <v>-0.05</v>
      </c>
      <c r="N91" s="17">
        <f>1/(1+H91)</f>
        <v>0.98029604940692083</v>
      </c>
      <c r="O91" s="17">
        <f>(1-I91*SUM($N91:N91))/(1+I91)</f>
        <v>0.9236516954319608</v>
      </c>
      <c r="P91" s="17">
        <f>1/(1+J91)</f>
        <v>0.99990000999900008</v>
      </c>
      <c r="Q91" s="17">
        <f>(1-K91*SUM($P91:P91))/(1+K91)</f>
        <v>0.92289588462555527</v>
      </c>
      <c r="R91" s="17">
        <f>SUMPRODUCT(N91:O91,$C$5:$D$5)</f>
        <v>109500.69924674601</v>
      </c>
      <c r="S91" s="17">
        <f>SUMPRODUCT(N91:O91,$C$6:$D$6)</f>
        <v>99980.960522551599</v>
      </c>
      <c r="T91" s="17">
        <f>SUMPRODUCT(P91:Q91,$C$4:$D$4)</f>
        <v>109594.75151417652</v>
      </c>
      <c r="U91" s="20">
        <f>SUMPRODUCT($C$14:$D$14,N91:O91)-SUM($A$12:$A$13)</f>
        <v>20.416892017179634</v>
      </c>
      <c r="V91" s="20">
        <f>SUMPRODUCT(C91:D91,N91:O91)-SUM(A89:A90)</f>
        <v>20.633101208077278</v>
      </c>
      <c r="W91" s="155">
        <f>R91-$R$3</f>
        <v>-20.416892017194186</v>
      </c>
      <c r="X91" s="155">
        <f>S91-$S$3</f>
        <v>-19.039477448401158</v>
      </c>
      <c r="Y91" s="155">
        <f>T91-T90</f>
        <v>-20.63310120809183</v>
      </c>
      <c r="Z91" s="158">
        <f>U91+W91</f>
        <v>-1.4551915228366852E-11</v>
      </c>
      <c r="AA91" s="158">
        <f>U91+Y91</f>
        <v>-0.21620919091219548</v>
      </c>
      <c r="AB91" s="158">
        <f>V91+W91</f>
        <v>0.21620919088309165</v>
      </c>
      <c r="AC91" s="158">
        <f>V91+Y91</f>
        <v>-1.4551915228366852E-11</v>
      </c>
    </row>
    <row r="92" spans="1:29" ht="69.599999999999994" x14ac:dyDescent="0.3">
      <c r="A92" s="169">
        <v>-102819.11393787981</v>
      </c>
      <c r="B92" s="62"/>
      <c r="C92" s="62">
        <f>A92*$I$3</f>
        <v>-4112.7645575151928</v>
      </c>
      <c r="D92" s="62">
        <f>A92*(1+$I$3)</f>
        <v>-106931.87849539501</v>
      </c>
      <c r="G92" s="17" t="s">
        <v>47</v>
      </c>
      <c r="H92" s="17">
        <v>1</v>
      </c>
      <c r="I92" s="17">
        <v>2</v>
      </c>
      <c r="J92" s="17">
        <v>1</v>
      </c>
      <c r="K92" s="17">
        <v>2</v>
      </c>
      <c r="L92" s="153" t="s">
        <v>128</v>
      </c>
      <c r="M92" s="168" t="s">
        <v>129</v>
      </c>
      <c r="N92" s="168" t="s">
        <v>145</v>
      </c>
      <c r="O92" s="168" t="s">
        <v>146</v>
      </c>
      <c r="P92" s="168" t="s">
        <v>147</v>
      </c>
      <c r="Q92" s="168" t="s">
        <v>148</v>
      </c>
      <c r="R92" s="168" t="s">
        <v>130</v>
      </c>
      <c r="S92" s="168" t="s">
        <v>131</v>
      </c>
      <c r="T92" s="168" t="s">
        <v>98</v>
      </c>
      <c r="U92" s="168" t="s">
        <v>140</v>
      </c>
      <c r="V92" s="170" t="str">
        <f>A94</f>
        <v>Swapportfolio_Marktwertkalkül_SPR_100BP</v>
      </c>
      <c r="W92" s="171" t="s">
        <v>132</v>
      </c>
      <c r="X92" s="171" t="s">
        <v>133</v>
      </c>
      <c r="Y92" s="171" t="s">
        <v>134</v>
      </c>
      <c r="Z92" s="171" t="s">
        <v>142</v>
      </c>
      <c r="AA92" s="171" t="s">
        <v>141</v>
      </c>
      <c r="AB92" s="171" t="s">
        <v>143</v>
      </c>
      <c r="AC92" s="171" t="s">
        <v>144</v>
      </c>
    </row>
    <row r="93" spans="1:29" x14ac:dyDescent="0.3">
      <c r="A93" s="172">
        <f>-($C$4+C92)/(1+$H$3)</f>
        <v>-4791.4072965537325</v>
      </c>
      <c r="B93" s="62"/>
      <c r="C93" s="62">
        <f>A93*(1+$H$3)</f>
        <v>-4887.2354424848072</v>
      </c>
      <c r="D93" s="62"/>
      <c r="G93" s="17" t="s">
        <v>47</v>
      </c>
      <c r="H93" s="44">
        <f>0.02+L93</f>
        <v>0.02</v>
      </c>
      <c r="I93" s="44">
        <f>0.04+L93</f>
        <v>0.04</v>
      </c>
      <c r="J93" s="154">
        <f>0.05+L93+M93</f>
        <v>1.0000000000000002E-2</v>
      </c>
      <c r="K93" s="154">
        <f>0.09+L93+M93</f>
        <v>4.9999999999999996E-2</v>
      </c>
      <c r="L93" s="108">
        <v>0</v>
      </c>
      <c r="M93" s="108">
        <v>-0.04</v>
      </c>
      <c r="N93" s="17">
        <f>1/(1+H93)</f>
        <v>0.98039215686274506</v>
      </c>
      <c r="O93" s="17">
        <f>(1-I93*SUM($N93:N93))/(1+I93)</f>
        <v>0.92383107088989447</v>
      </c>
      <c r="P93" s="17">
        <f t="shared" ref="P93" si="37">1/(1+J93)</f>
        <v>0.99009900990099009</v>
      </c>
      <c r="Q93" s="17">
        <f>(1-K93*SUM($P93:P93))/(1+K93)</f>
        <v>0.90523338048090518</v>
      </c>
      <c r="R93" s="17">
        <f>SUMPRODUCT(N93:O93,$C$5:$D$5)</f>
        <v>109521.1161387632</v>
      </c>
      <c r="S93" s="17">
        <f>SUMPRODUCT(N93:O93,$C$6:$D$6)</f>
        <v>100000</v>
      </c>
      <c r="T93" s="17">
        <f>SUMPRODUCT(P93:Q93,$C$4:$D$4)</f>
        <v>107581.32956152759</v>
      </c>
      <c r="U93" s="20">
        <f>SUMPRODUCT($C$14:$D$14,N93:O93)-SUM($A$12:$A$13)</f>
        <v>0</v>
      </c>
      <c r="V93" s="20">
        <f>SUMPRODUCT($C$21:$D$21,N93:O93)-SUM($A$19:$A$20)</f>
        <v>0</v>
      </c>
    </row>
    <row r="94" spans="1:29" x14ac:dyDescent="0.3">
      <c r="A94" s="62" t="s">
        <v>151</v>
      </c>
      <c r="B94" s="62">
        <v>0</v>
      </c>
      <c r="C94" s="62">
        <f>SUM(C92:C93)</f>
        <v>-9000</v>
      </c>
      <c r="D94" s="62">
        <f>SUM(D92:D93)</f>
        <v>-106931.87849539501</v>
      </c>
      <c r="H94" s="44">
        <f>0.02+L94</f>
        <v>2.01E-2</v>
      </c>
      <c r="I94" s="44">
        <f>0.04+L94</f>
        <v>4.0100000000000004E-2</v>
      </c>
      <c r="J94" s="154">
        <f>0.05+L94+M94</f>
        <v>1.0100000000000005E-2</v>
      </c>
      <c r="K94" s="154">
        <f>0.09+L94+M94</f>
        <v>5.0099999999999999E-2</v>
      </c>
      <c r="L94" s="173">
        <v>1E-4</v>
      </c>
      <c r="M94" s="173">
        <f>M93</f>
        <v>-0.04</v>
      </c>
      <c r="N94" s="17">
        <f>1/(1+H94)</f>
        <v>0.98029604940692083</v>
      </c>
      <c r="O94" s="17">
        <f>(1-I94*SUM($N94:N94))/(1+I94)</f>
        <v>0.9236516954319608</v>
      </c>
      <c r="P94" s="17">
        <f>1/(1+J94)</f>
        <v>0.99000099000098996</v>
      </c>
      <c r="Q94" s="17">
        <f>(1-K94*SUM($P94:P94))/(1+K94)</f>
        <v>0.90505756632792156</v>
      </c>
      <c r="R94" s="17">
        <f>SUMPRODUCT(N94:O94,$C$5:$D$5)</f>
        <v>109500.69924674601</v>
      </c>
      <c r="S94" s="17">
        <f>SUMPRODUCT(N94:O94,$C$6:$D$6)</f>
        <v>99980.960522551599</v>
      </c>
      <c r="T94" s="17">
        <f>SUMPRODUCT(P94:Q94,$C$4:$D$4)</f>
        <v>107561.28363975236</v>
      </c>
      <c r="U94" s="20">
        <f>SUMPRODUCT($C$14:$D$14,N94:O94)-SUM($A$12:$A$13)</f>
        <v>20.416892017179634</v>
      </c>
      <c r="V94" s="20">
        <f>SUMPRODUCT(C94:D94,N94:O94)-SUM(A92:A93)</f>
        <v>20.045921775235911</v>
      </c>
      <c r="W94" s="155">
        <f>R94-$R$3</f>
        <v>-20.416892017194186</v>
      </c>
      <c r="X94" s="155">
        <f>S94-$S$3</f>
        <v>-19.039477448401158</v>
      </c>
      <c r="Y94" s="155">
        <f>T94-T93</f>
        <v>-20.045921775221359</v>
      </c>
      <c r="Z94" s="158">
        <f>U94+W94</f>
        <v>-1.4551915228366852E-11</v>
      </c>
      <c r="AA94" s="158">
        <f>U94+Y94</f>
        <v>0.37097024195827544</v>
      </c>
      <c r="AB94" s="158">
        <f>V94+W94</f>
        <v>-0.37097024195827544</v>
      </c>
      <c r="AC94" s="158">
        <f>V94+Y94</f>
        <v>1.4551915228366852E-11</v>
      </c>
    </row>
    <row r="95" spans="1:29" ht="69.599999999999994" x14ac:dyDescent="0.3">
      <c r="A95" s="169">
        <v>-99790.675805845909</v>
      </c>
      <c r="B95" s="62"/>
      <c r="C95" s="62">
        <f>A95*$I$3</f>
        <v>-3991.6270322338364</v>
      </c>
      <c r="D95" s="62">
        <f>A95*(1+$I$3)</f>
        <v>-103782.30283807975</v>
      </c>
      <c r="G95" s="17" t="s">
        <v>47</v>
      </c>
      <c r="H95" s="17">
        <v>1</v>
      </c>
      <c r="I95" s="17">
        <v>2</v>
      </c>
      <c r="J95" s="17">
        <v>1</v>
      </c>
      <c r="K95" s="17">
        <v>2</v>
      </c>
      <c r="L95" s="153" t="s">
        <v>128</v>
      </c>
      <c r="M95" s="168" t="s">
        <v>129</v>
      </c>
      <c r="N95" s="168" t="s">
        <v>145</v>
      </c>
      <c r="O95" s="168" t="s">
        <v>146</v>
      </c>
      <c r="P95" s="168" t="s">
        <v>147</v>
      </c>
      <c r="Q95" s="168" t="s">
        <v>148</v>
      </c>
      <c r="R95" s="168" t="s">
        <v>130</v>
      </c>
      <c r="S95" s="168" t="s">
        <v>131</v>
      </c>
      <c r="T95" s="168" t="s">
        <v>98</v>
      </c>
      <c r="U95" s="168" t="s">
        <v>140</v>
      </c>
      <c r="V95" s="170" t="str">
        <f>A97</f>
        <v>Swapportfolio_Marktwertkalkül_SPR_200BP</v>
      </c>
      <c r="W95" s="171" t="s">
        <v>132</v>
      </c>
      <c r="X95" s="171" t="s">
        <v>133</v>
      </c>
      <c r="Y95" s="171" t="s">
        <v>134</v>
      </c>
      <c r="Z95" s="171" t="s">
        <v>142</v>
      </c>
      <c r="AA95" s="171" t="s">
        <v>141</v>
      </c>
      <c r="AB95" s="171" t="s">
        <v>143</v>
      </c>
      <c r="AC95" s="171" t="s">
        <v>144</v>
      </c>
    </row>
    <row r="96" spans="1:29" x14ac:dyDescent="0.3">
      <c r="A96" s="172">
        <f>-($C$4+C95)/(1+$H$3)</f>
        <v>-4910.1695762413365</v>
      </c>
      <c r="B96" s="62"/>
      <c r="C96" s="62">
        <f>A96*(1+$H$3)</f>
        <v>-5008.3729677661631</v>
      </c>
      <c r="D96" s="62"/>
      <c r="G96" s="17" t="s">
        <v>47</v>
      </c>
      <c r="H96" s="44">
        <f>0.02+L96</f>
        <v>0.02</v>
      </c>
      <c r="I96" s="44">
        <f>0.04+L96</f>
        <v>0.04</v>
      </c>
      <c r="J96" s="154">
        <f>0.05+L96+M96</f>
        <v>2.0000000000000004E-2</v>
      </c>
      <c r="K96" s="154">
        <f>0.09+L96+M96</f>
        <v>0.06</v>
      </c>
      <c r="L96" s="108">
        <v>0</v>
      </c>
      <c r="M96" s="108">
        <v>-0.03</v>
      </c>
      <c r="N96" s="17">
        <f>1/(1+H96)</f>
        <v>0.98039215686274506</v>
      </c>
      <c r="O96" s="17">
        <f>(1-I96*SUM($N96:N96))/(1+I96)</f>
        <v>0.92383107088989447</v>
      </c>
      <c r="P96" s="17">
        <f t="shared" ref="P96" si="38">1/(1+J96)</f>
        <v>0.98039215686274506</v>
      </c>
      <c r="Q96" s="17">
        <f>(1-K96*SUM($P96:P96))/(1+K96)</f>
        <v>0.88790233074361813</v>
      </c>
      <c r="R96" s="17">
        <f>SUMPRODUCT(N96:O96,$C$5:$D$5)</f>
        <v>109521.1161387632</v>
      </c>
      <c r="S96" s="17">
        <f>SUMPRODUCT(N96:O96,$C$6:$D$6)</f>
        <v>100000</v>
      </c>
      <c r="T96" s="17">
        <f>SUMPRODUCT(P96:Q96,$C$4:$D$4)</f>
        <v>105604.8834628191</v>
      </c>
      <c r="U96" s="20">
        <f>SUMPRODUCT($C$14:$D$14,N96:O96)-SUM($A$12:$A$13)</f>
        <v>0</v>
      </c>
      <c r="V96" s="20">
        <f>SUMPRODUCT($C$21:$D$21,N96:O96)-SUM($A$19:$A$20)</f>
        <v>0</v>
      </c>
    </row>
    <row r="97" spans="1:29" x14ac:dyDescent="0.3">
      <c r="A97" s="62" t="s">
        <v>152</v>
      </c>
      <c r="B97" s="62">
        <v>0</v>
      </c>
      <c r="C97" s="62">
        <f>SUM(C95:C96)</f>
        <v>-9000</v>
      </c>
      <c r="D97" s="62">
        <f>SUM(D95:D96)</f>
        <v>-103782.30283807975</v>
      </c>
      <c r="H97" s="44">
        <f>0.02+L97</f>
        <v>2.01E-2</v>
      </c>
      <c r="I97" s="44">
        <f>0.04+L97</f>
        <v>4.0100000000000004E-2</v>
      </c>
      <c r="J97" s="154">
        <f>0.05+L97+M97</f>
        <v>2.0100000000000007E-2</v>
      </c>
      <c r="K97" s="154">
        <f>0.09+L97+M97</f>
        <v>6.0100000000000001E-2</v>
      </c>
      <c r="L97" s="173">
        <v>1E-4</v>
      </c>
      <c r="M97" s="173">
        <f>M96</f>
        <v>-0.03</v>
      </c>
      <c r="N97" s="17">
        <f>1/(1+H97)</f>
        <v>0.98029604940692083</v>
      </c>
      <c r="O97" s="17">
        <f>(1-I97*SUM($N97:N97))/(1+I97)</f>
        <v>0.9236516954319608</v>
      </c>
      <c r="P97" s="17">
        <f>1/(1+J97)</f>
        <v>0.98029604940692083</v>
      </c>
      <c r="Q97" s="17">
        <f>(1-K97*SUM($P97:P97))/(1+K97)</f>
        <v>0.88773154177025182</v>
      </c>
      <c r="R97" s="17">
        <f>SUMPRODUCT(N97:O97,$C$5:$D$5)</f>
        <v>109500.69924674601</v>
      </c>
      <c r="S97" s="17">
        <f>SUMPRODUCT(N97:O97,$C$6:$D$6)</f>
        <v>99980.960522551599</v>
      </c>
      <c r="T97" s="17">
        <f>SUMPRODUCT(P97:Q97,$C$4:$D$4)</f>
        <v>105585.40249761973</v>
      </c>
      <c r="U97" s="20">
        <f>SUMPRODUCT($C$14:$D$14,N97:O97)-SUM($A$12:$A$13)</f>
        <v>20.416892017179634</v>
      </c>
      <c r="V97" s="20">
        <f>SUMPRODUCT(C97:D97,N97:O97)-SUM(A95:A96)</f>
        <v>19.480965199414641</v>
      </c>
      <c r="W97" s="155">
        <f>R97-$R$3</f>
        <v>-20.416892017194186</v>
      </c>
      <c r="X97" s="155">
        <f>S97-$S$3</f>
        <v>-19.039477448401158</v>
      </c>
      <c r="Y97" s="155">
        <f>T97-T96</f>
        <v>-19.480965199370985</v>
      </c>
      <c r="Z97" s="158">
        <f>U97+W97</f>
        <v>-1.4551915228366852E-11</v>
      </c>
      <c r="AA97" s="158">
        <f>U97+Y97</f>
        <v>0.9359268178086495</v>
      </c>
      <c r="AB97" s="158">
        <f>V97+W97</f>
        <v>-0.93592681777954567</v>
      </c>
      <c r="AC97" s="158">
        <f>V97+Y97</f>
        <v>4.3655745685100555E-11</v>
      </c>
    </row>
    <row r="98" spans="1:29" ht="69.599999999999994" x14ac:dyDescent="0.3">
      <c r="A98" s="169">
        <v>-96875.764203534098</v>
      </c>
      <c r="B98" s="62"/>
      <c r="C98" s="62">
        <f>A98*$I$3</f>
        <v>-3875.0305681413638</v>
      </c>
      <c r="D98" s="62">
        <f>A98*(1+$I$3)</f>
        <v>-100750.79477167547</v>
      </c>
      <c r="G98" s="17" t="s">
        <v>47</v>
      </c>
      <c r="H98" s="17">
        <v>1</v>
      </c>
      <c r="I98" s="17">
        <v>2</v>
      </c>
      <c r="J98" s="17">
        <v>1</v>
      </c>
      <c r="K98" s="17">
        <v>2</v>
      </c>
      <c r="L98" s="153" t="s">
        <v>128</v>
      </c>
      <c r="M98" s="168" t="s">
        <v>129</v>
      </c>
      <c r="N98" s="168" t="s">
        <v>145</v>
      </c>
      <c r="O98" s="168" t="s">
        <v>146</v>
      </c>
      <c r="P98" s="168" t="s">
        <v>147</v>
      </c>
      <c r="Q98" s="168" t="s">
        <v>148</v>
      </c>
      <c r="R98" s="168" t="s">
        <v>130</v>
      </c>
      <c r="S98" s="168" t="s">
        <v>131</v>
      </c>
      <c r="T98" s="168" t="s">
        <v>98</v>
      </c>
      <c r="U98" s="168" t="s">
        <v>140</v>
      </c>
      <c r="V98" s="170" t="str">
        <f>A100</f>
        <v>Swapportfolio_Marktwertkalkül_SPR_300BP</v>
      </c>
      <c r="W98" s="171" t="s">
        <v>132</v>
      </c>
      <c r="X98" s="171" t="s">
        <v>133</v>
      </c>
      <c r="Y98" s="171" t="s">
        <v>134</v>
      </c>
      <c r="Z98" s="171" t="s">
        <v>142</v>
      </c>
      <c r="AA98" s="171" t="s">
        <v>141</v>
      </c>
      <c r="AB98" s="171" t="s">
        <v>143</v>
      </c>
      <c r="AC98" s="171" t="s">
        <v>144</v>
      </c>
    </row>
    <row r="99" spans="1:29" x14ac:dyDescent="0.3">
      <c r="A99" s="172">
        <f>-($C$4+C98)/(1+$H$3)</f>
        <v>-5024.4798351555255</v>
      </c>
      <c r="B99" s="62"/>
      <c r="C99" s="62">
        <f>A99*(1+$H$3)</f>
        <v>-5124.9694318586362</v>
      </c>
      <c r="D99" s="62"/>
      <c r="G99" s="17" t="s">
        <v>47</v>
      </c>
      <c r="H99" s="44">
        <f>0.02+L99</f>
        <v>0.02</v>
      </c>
      <c r="I99" s="44">
        <f>0.04+L99</f>
        <v>0.04</v>
      </c>
      <c r="J99" s="154">
        <f>0.05+L99+M99</f>
        <v>3.0000000000000002E-2</v>
      </c>
      <c r="K99" s="154">
        <f>0.09+L99+M99</f>
        <v>6.9999999999999993E-2</v>
      </c>
      <c r="L99" s="108">
        <v>0</v>
      </c>
      <c r="M99" s="108">
        <v>-0.02</v>
      </c>
      <c r="N99" s="17">
        <f>1/(1+H99)</f>
        <v>0.98039215686274506</v>
      </c>
      <c r="O99" s="17">
        <f>(1-I99*SUM($N99:N99))/(1+I99)</f>
        <v>0.92383107088989447</v>
      </c>
      <c r="P99" s="17">
        <f t="shared" ref="P99" si="39">1/(1+J99)</f>
        <v>0.970873786407767</v>
      </c>
      <c r="Q99" s="17">
        <f>(1-K99*SUM($P99:P99))/(1+K99)</f>
        <v>0.87106433173033293</v>
      </c>
      <c r="R99" s="17">
        <f>SUMPRODUCT(N99:O99,$C$5:$D$5)</f>
        <v>109521.1161387632</v>
      </c>
      <c r="S99" s="17">
        <f>SUMPRODUCT(N99:O99,$C$6:$D$6)</f>
        <v>100000</v>
      </c>
      <c r="T99" s="17">
        <f>SUMPRODUCT(P99:Q99,$C$4:$D$4)</f>
        <v>103683.87623627619</v>
      </c>
      <c r="U99" s="20">
        <f>SUMPRODUCT($C$14:$D$14,N99:O99)-SUM($A$12:$A$13)</f>
        <v>0</v>
      </c>
      <c r="V99" s="20">
        <f>SUMPRODUCT($C$21:$D$21,N99:O99)-SUM($A$19:$A$20)</f>
        <v>0</v>
      </c>
    </row>
    <row r="100" spans="1:29" x14ac:dyDescent="0.3">
      <c r="A100" s="62" t="s">
        <v>153</v>
      </c>
      <c r="B100" s="62">
        <v>0</v>
      </c>
      <c r="C100" s="62">
        <f>SUM(C98:C99)</f>
        <v>-9000</v>
      </c>
      <c r="D100" s="62">
        <f>SUM(D98:D99)</f>
        <v>-100750.79477167547</v>
      </c>
      <c r="H100" s="44">
        <f>0.02+L100</f>
        <v>2.01E-2</v>
      </c>
      <c r="I100" s="44">
        <f>0.04+L100</f>
        <v>4.0100000000000004E-2</v>
      </c>
      <c r="J100" s="154">
        <f>0.05+L100+M100</f>
        <v>3.0100000000000005E-2</v>
      </c>
      <c r="K100" s="154">
        <f>0.09+L100+M100</f>
        <v>7.0099999999999996E-2</v>
      </c>
      <c r="L100" s="173">
        <v>1E-4</v>
      </c>
      <c r="M100" s="173">
        <f>M99</f>
        <v>-0.02</v>
      </c>
      <c r="N100" s="17">
        <f>1/(1+H100)</f>
        <v>0.98029604940692083</v>
      </c>
      <c r="O100" s="17">
        <f>(1-I100*SUM($N100:N100))/(1+I100)</f>
        <v>0.9236516954319608</v>
      </c>
      <c r="P100" s="17">
        <f>1/(1+J100)</f>
        <v>0.97077953596738176</v>
      </c>
      <c r="Q100" s="17">
        <f>(1-K100*SUM($P100:P100))/(1+K100)</f>
        <v>0.87089837821576155</v>
      </c>
      <c r="R100" s="17">
        <f>SUMPRODUCT(N100:O100,$C$5:$D$5)</f>
        <v>109500.69924674601</v>
      </c>
      <c r="S100" s="17">
        <f>SUMPRODUCT(N100:O100,$C$6:$D$6)</f>
        <v>99980.960522551599</v>
      </c>
      <c r="T100" s="17">
        <f>SUMPRODUCT(P100:Q100,$C$4:$D$4)</f>
        <v>103664.93904922444</v>
      </c>
      <c r="U100" s="20">
        <f>SUMPRODUCT($C$14:$D$14,N100:O100)-SUM($A$12:$A$13)</f>
        <v>20.416892017179634</v>
      </c>
      <c r="V100" s="20">
        <f>SUMPRODUCT(C100:D100,N100:O100)-SUM(A98:A99)</f>
        <v>18.93718705176434</v>
      </c>
      <c r="W100" s="155">
        <f>R100-$R$3</f>
        <v>-20.416892017194186</v>
      </c>
      <c r="X100" s="155">
        <f>S100-$S$3</f>
        <v>-19.039477448401158</v>
      </c>
      <c r="Y100" s="155">
        <f>T100-T99</f>
        <v>-18.937187051749788</v>
      </c>
      <c r="Z100" s="158">
        <f>U100+W100</f>
        <v>-1.4551915228366852E-11</v>
      </c>
      <c r="AA100" s="158">
        <f>U100+Y100</f>
        <v>1.4797049654298462</v>
      </c>
      <c r="AB100" s="158">
        <f>V100+W100</f>
        <v>-1.4797049654298462</v>
      </c>
      <c r="AC100" s="158">
        <f>V100+Y100</f>
        <v>1.4551915228366852E-11</v>
      </c>
    </row>
    <row r="101" spans="1:29" ht="69.599999999999994" x14ac:dyDescent="0.3">
      <c r="A101" s="169">
        <v>-94069.093762061952</v>
      </c>
      <c r="B101" s="62"/>
      <c r="C101" s="62">
        <f>A101*$I$3</f>
        <v>-3762.7637504824779</v>
      </c>
      <c r="D101" s="62">
        <f>A101*(1+$I$3)</f>
        <v>-97831.857512544433</v>
      </c>
      <c r="G101" s="17" t="s">
        <v>47</v>
      </c>
      <c r="H101" s="17">
        <v>1</v>
      </c>
      <c r="I101" s="17">
        <v>2</v>
      </c>
      <c r="J101" s="17">
        <v>1</v>
      </c>
      <c r="K101" s="17">
        <v>2</v>
      </c>
      <c r="L101" s="153" t="s">
        <v>128</v>
      </c>
      <c r="M101" s="168" t="s">
        <v>129</v>
      </c>
      <c r="N101" s="168" t="s">
        <v>145</v>
      </c>
      <c r="O101" s="168" t="s">
        <v>146</v>
      </c>
      <c r="P101" s="168" t="s">
        <v>147</v>
      </c>
      <c r="Q101" s="168" t="s">
        <v>148</v>
      </c>
      <c r="R101" s="168" t="s">
        <v>130</v>
      </c>
      <c r="S101" s="168" t="s">
        <v>131</v>
      </c>
      <c r="T101" s="168" t="s">
        <v>98</v>
      </c>
      <c r="U101" s="168" t="s">
        <v>140</v>
      </c>
      <c r="V101" s="170" t="str">
        <f>A103</f>
        <v>Swapportfolio_Marktwertkalkül_SPR_400BP</v>
      </c>
      <c r="W101" s="171" t="s">
        <v>132</v>
      </c>
      <c r="X101" s="171" t="s">
        <v>133</v>
      </c>
      <c r="Y101" s="171" t="s">
        <v>134</v>
      </c>
      <c r="Z101" s="171" t="s">
        <v>142</v>
      </c>
      <c r="AA101" s="171" t="s">
        <v>141</v>
      </c>
      <c r="AB101" s="171" t="s">
        <v>143</v>
      </c>
      <c r="AC101" s="171" t="s">
        <v>144</v>
      </c>
    </row>
    <row r="102" spans="1:29" x14ac:dyDescent="0.3">
      <c r="A102" s="172">
        <f>-($C$4+C101)/(1+$H$3)</f>
        <v>-5134.5453426642371</v>
      </c>
      <c r="B102" s="62"/>
      <c r="C102" s="62">
        <f>A102*(1+$H$3)</f>
        <v>-5237.2362495175221</v>
      </c>
      <c r="D102" s="62"/>
      <c r="G102" s="17" t="s">
        <v>47</v>
      </c>
      <c r="H102" s="44">
        <f>0.02+L102</f>
        <v>0.02</v>
      </c>
      <c r="I102" s="44">
        <f>0.04+L102</f>
        <v>0.04</v>
      </c>
      <c r="J102" s="154">
        <f>0.05+L102+M102</f>
        <v>0.04</v>
      </c>
      <c r="K102" s="154">
        <f>0.09+L102+M102</f>
        <v>0.08</v>
      </c>
      <c r="L102" s="108">
        <v>0</v>
      </c>
      <c r="M102" s="108">
        <v>-0.01</v>
      </c>
      <c r="N102" s="17">
        <f>1/(1+H102)</f>
        <v>0.98039215686274506</v>
      </c>
      <c r="O102" s="17">
        <f>(1-I102*SUM($N102:N102))/(1+I102)</f>
        <v>0.92383107088989447</v>
      </c>
      <c r="P102" s="17">
        <f t="shared" ref="P102" si="40">1/(1+J102)</f>
        <v>0.96153846153846145</v>
      </c>
      <c r="Q102" s="17">
        <f>(1-K102*SUM($P102:P102))/(1+K102)</f>
        <v>0.85470085470085466</v>
      </c>
      <c r="R102" s="17">
        <f>SUMPRODUCT(N102:O102,$C$5:$D$5)</f>
        <v>109521.1161387632</v>
      </c>
      <c r="S102" s="17">
        <f>SUMPRODUCT(N102:O102,$C$6:$D$6)</f>
        <v>100000</v>
      </c>
      <c r="T102" s="17">
        <f>SUMPRODUCT(P102:Q102,$C$4:$D$4)</f>
        <v>101816.23931623931</v>
      </c>
      <c r="U102" s="20">
        <f>SUMPRODUCT($C$14:$D$14,N102:O102)-SUM($A$12:$A$13)</f>
        <v>0</v>
      </c>
      <c r="V102" s="20">
        <f>SUMPRODUCT($C$21:$D$21,N102:O102)-SUM($A$19:$A$20)</f>
        <v>0</v>
      </c>
    </row>
    <row r="103" spans="1:29" x14ac:dyDescent="0.3">
      <c r="A103" s="62" t="s">
        <v>154</v>
      </c>
      <c r="B103" s="62">
        <v>0</v>
      </c>
      <c r="C103" s="62">
        <f>SUM(C101:C102)</f>
        <v>-9000</v>
      </c>
      <c r="D103" s="62">
        <f>SUM(D101:D102)</f>
        <v>-97831.857512544433</v>
      </c>
      <c r="H103" s="44">
        <f>0.02+L103</f>
        <v>2.01E-2</v>
      </c>
      <c r="I103" s="44">
        <f>0.04+L103</f>
        <v>4.0100000000000004E-2</v>
      </c>
      <c r="J103" s="154">
        <f>0.05+L103+M103</f>
        <v>4.0100000000000004E-2</v>
      </c>
      <c r="K103" s="154">
        <f>0.09+L103+M103</f>
        <v>8.0100000000000005E-2</v>
      </c>
      <c r="L103" s="173">
        <v>1E-4</v>
      </c>
      <c r="M103" s="173">
        <f>M102</f>
        <v>-0.01</v>
      </c>
      <c r="N103" s="17">
        <f>1/(1+H103)</f>
        <v>0.98029604940692083</v>
      </c>
      <c r="O103" s="17">
        <f>(1-I103*SUM($N103:N103))/(1+I103)</f>
        <v>0.9236516954319608</v>
      </c>
      <c r="P103" s="17">
        <f>1/(1+J103)</f>
        <v>0.96144601480626857</v>
      </c>
      <c r="Q103" s="17">
        <f>(1-K103*SUM($P103:P103))/(1+K103)</f>
        <v>0.8545395557948503</v>
      </c>
      <c r="R103" s="17">
        <f>SUMPRODUCT(N103:O103,$C$5:$D$5)</f>
        <v>109500.69924674601</v>
      </c>
      <c r="S103" s="17">
        <f>SUMPRODUCT(N103:O103,$C$6:$D$6)</f>
        <v>99980.960522551599</v>
      </c>
      <c r="T103" s="17">
        <f>SUMPRODUCT(P103:Q103,$C$4:$D$4)</f>
        <v>101797.82571489509</v>
      </c>
      <c r="U103" s="20">
        <f>SUMPRODUCT($C$14:$D$14,N103:O103)-SUM($A$12:$A$13)</f>
        <v>20.416892017179634</v>
      </c>
      <c r="V103" s="20">
        <f>SUMPRODUCT(C103:D103,N103:O103)-SUM(A101:A102)</f>
        <v>18.41360134423303</v>
      </c>
      <c r="W103" s="155">
        <f>R103-$R$3</f>
        <v>-20.416892017194186</v>
      </c>
      <c r="X103" s="155">
        <f>S103-$S$3</f>
        <v>-19.039477448401158</v>
      </c>
      <c r="Y103" s="155">
        <f>T103-T102</f>
        <v>-18.413601344218478</v>
      </c>
      <c r="Z103" s="158">
        <f>U103+W103</f>
        <v>-1.4551915228366852E-11</v>
      </c>
      <c r="AA103" s="158">
        <f>U103+Y103</f>
        <v>2.0032906729611568</v>
      </c>
      <c r="AB103" s="158">
        <f>V103+W103</f>
        <v>-2.0032906729611568</v>
      </c>
      <c r="AC103" s="158">
        <f>V103+Y103</f>
        <v>1.4551915228366852E-11</v>
      </c>
    </row>
    <row r="104" spans="1:29" ht="69.599999999999994" x14ac:dyDescent="0.3">
      <c r="A104" s="169">
        <v>-91365.672101366727</v>
      </c>
      <c r="B104" s="62"/>
      <c r="C104" s="62">
        <f>A104*$I$3</f>
        <v>-3654.6268840546691</v>
      </c>
      <c r="D104" s="62">
        <f>A104*(1+$I$3)</f>
        <v>-95020.298985421396</v>
      </c>
      <c r="G104" s="17" t="s">
        <v>47</v>
      </c>
      <c r="H104" s="17">
        <v>1</v>
      </c>
      <c r="I104" s="17">
        <v>2</v>
      </c>
      <c r="J104" s="17">
        <v>1</v>
      </c>
      <c r="K104" s="17">
        <v>2</v>
      </c>
      <c r="L104" s="153" t="s">
        <v>128</v>
      </c>
      <c r="M104" s="168" t="s">
        <v>129</v>
      </c>
      <c r="N104" s="168" t="s">
        <v>145</v>
      </c>
      <c r="O104" s="168" t="s">
        <v>146</v>
      </c>
      <c r="P104" s="168" t="s">
        <v>147</v>
      </c>
      <c r="Q104" s="168" t="s">
        <v>148</v>
      </c>
      <c r="R104" s="168" t="s">
        <v>130</v>
      </c>
      <c r="S104" s="168" t="s">
        <v>131</v>
      </c>
      <c r="T104" s="168" t="s">
        <v>98</v>
      </c>
      <c r="U104" s="168" t="s">
        <v>140</v>
      </c>
      <c r="V104" s="170" t="str">
        <f>A106</f>
        <v>Swapportfolio_Marktwertkalkül_SPR_500BP</v>
      </c>
      <c r="W104" s="171" t="s">
        <v>132</v>
      </c>
      <c r="X104" s="171" t="s">
        <v>133</v>
      </c>
      <c r="Y104" s="171" t="s">
        <v>134</v>
      </c>
      <c r="Z104" s="171" t="s">
        <v>142</v>
      </c>
      <c r="AA104" s="171" t="s">
        <v>141</v>
      </c>
      <c r="AB104" s="171" t="s">
        <v>143</v>
      </c>
      <c r="AC104" s="171" t="s">
        <v>144</v>
      </c>
    </row>
    <row r="105" spans="1:29" x14ac:dyDescent="0.3">
      <c r="A105" s="172">
        <f>-($C$4+C104)/(1+$H$3)</f>
        <v>-5240.5618783777754</v>
      </c>
      <c r="B105" s="62"/>
      <c r="C105" s="62">
        <f>A105*(1+$H$3)</f>
        <v>-5345.3731159453309</v>
      </c>
      <c r="D105" s="62"/>
      <c r="G105" s="17" t="s">
        <v>47</v>
      </c>
      <c r="H105" s="44">
        <f>0.02+L105</f>
        <v>0.02</v>
      </c>
      <c r="I105" s="44">
        <f>0.04+L105</f>
        <v>0.04</v>
      </c>
      <c r="J105" s="154">
        <f>0.05+L105+M105</f>
        <v>0.05</v>
      </c>
      <c r="K105" s="154">
        <f>0.09+L105+M105</f>
        <v>0.09</v>
      </c>
      <c r="L105" s="108">
        <v>0</v>
      </c>
      <c r="M105" s="108">
        <v>0</v>
      </c>
      <c r="N105" s="17">
        <f>1/(1+H105)</f>
        <v>0.98039215686274506</v>
      </c>
      <c r="O105" s="17">
        <f>(1-I105*SUM($N105:N105))/(1+I105)</f>
        <v>0.92383107088989447</v>
      </c>
      <c r="P105" s="17">
        <f t="shared" ref="P105" si="41">1/(1+J105)</f>
        <v>0.95238095238095233</v>
      </c>
      <c r="Q105" s="17">
        <f>(1-K105*SUM($P105:P105))/(1+K105)</f>
        <v>0.83879423328964609</v>
      </c>
      <c r="R105" s="17">
        <f>SUMPRODUCT(N105:O105,$C$5:$D$5)</f>
        <v>109521.1161387632</v>
      </c>
      <c r="S105" s="17">
        <f>SUMPRODUCT(N105:O105,$C$6:$D$6)</f>
        <v>100000</v>
      </c>
      <c r="T105" s="17">
        <f>SUMPRODUCT(P105:Q105,$C$4:$D$4)</f>
        <v>99999.999999999985</v>
      </c>
      <c r="U105" s="20">
        <f>SUMPRODUCT($C$14:$D$14,N105:O105)-SUM($A$12:$A$13)</f>
        <v>0</v>
      </c>
      <c r="V105" s="20">
        <f>SUMPRODUCT($C$21:$D$21,N105:O105)-SUM($A$19:$A$20)</f>
        <v>0</v>
      </c>
    </row>
    <row r="106" spans="1:29" x14ac:dyDescent="0.3">
      <c r="A106" s="62" t="s">
        <v>149</v>
      </c>
      <c r="B106" s="62">
        <v>0</v>
      </c>
      <c r="C106" s="62">
        <f>SUM(C104:C105)</f>
        <v>-9000</v>
      </c>
      <c r="D106" s="62">
        <f>SUM(D104:D105)</f>
        <v>-95020.298985421396</v>
      </c>
      <c r="H106" s="44">
        <f>0.02+L106</f>
        <v>2.01E-2</v>
      </c>
      <c r="I106" s="44">
        <f>0.04+L106</f>
        <v>4.0100000000000004E-2</v>
      </c>
      <c r="J106" s="154">
        <f>0.05+L106+M106</f>
        <v>5.0100000000000006E-2</v>
      </c>
      <c r="K106" s="154">
        <f>0.09+L106+M106</f>
        <v>9.01E-2</v>
      </c>
      <c r="L106" s="173">
        <v>1E-4</v>
      </c>
      <c r="M106" s="173">
        <f>M105</f>
        <v>0</v>
      </c>
      <c r="N106" s="17">
        <f>1/(1+H106)</f>
        <v>0.98029604940692083</v>
      </c>
      <c r="O106" s="17">
        <f>(1-I106*SUM($N106:N106))/(1+I106)</f>
        <v>0.9236516954319608</v>
      </c>
      <c r="P106" s="17">
        <f>1/(1+J106)</f>
        <v>0.95229025807065992</v>
      </c>
      <c r="Q106" s="17">
        <f>(1-K106*SUM($P106:P106))/(1+K106)</f>
        <v>0.83863741651943258</v>
      </c>
      <c r="R106" s="17">
        <f>SUMPRODUCT(N106:O106,$C$5:$D$5)</f>
        <v>109500.69924674601</v>
      </c>
      <c r="S106" s="17">
        <f>SUMPRODUCT(N106:O106,$C$6:$D$6)</f>
        <v>99980.960522551599</v>
      </c>
      <c r="T106" s="17">
        <f>SUMPRODUCT(P106:Q106,$C$4:$D$4)</f>
        <v>99982.090723254092</v>
      </c>
      <c r="U106" s="20">
        <f>SUMPRODUCT($C$14:$D$14,N106:O106)-SUM($A$12:$A$13)</f>
        <v>20.416892017179634</v>
      </c>
      <c r="V106" s="20">
        <f>SUMPRODUCT(C106:D106,N106:O106)-SUM(A104:A105)</f>
        <v>17.909276745922398</v>
      </c>
      <c r="W106" s="155">
        <f>R106-$R$3</f>
        <v>-20.416892017194186</v>
      </c>
      <c r="X106" s="155">
        <f>S106-$S$3</f>
        <v>-19.039477448401158</v>
      </c>
      <c r="Y106" s="155">
        <f>T106-T105</f>
        <v>-17.909276745893294</v>
      </c>
      <c r="Z106" s="158">
        <f>U106+W106</f>
        <v>-1.4551915228366852E-11</v>
      </c>
      <c r="AA106" s="158">
        <f>U106+Y106</f>
        <v>2.5076152712863404</v>
      </c>
      <c r="AB106" s="158">
        <f>V106+W106</f>
        <v>-2.5076152712717885</v>
      </c>
      <c r="AC106" s="158">
        <f>V106+Y106</f>
        <v>2.9103830456733704E-11</v>
      </c>
    </row>
    <row r="107" spans="1:29" ht="69.599999999999994" x14ac:dyDescent="0.3">
      <c r="A107" s="169">
        <v>-88760.781039663183</v>
      </c>
      <c r="B107" s="62"/>
      <c r="C107" s="62">
        <f>A107*$I$3</f>
        <v>-3550.4312415865274</v>
      </c>
      <c r="D107" s="62">
        <f>A107*(1+$I$3)</f>
        <v>-92311.212281249711</v>
      </c>
      <c r="G107" s="17" t="s">
        <v>47</v>
      </c>
      <c r="H107" s="17">
        <v>1</v>
      </c>
      <c r="I107" s="17">
        <v>2</v>
      </c>
      <c r="J107" s="17">
        <v>1</v>
      </c>
      <c r="K107" s="17">
        <v>2</v>
      </c>
      <c r="L107" s="153" t="s">
        <v>128</v>
      </c>
      <c r="M107" s="168" t="s">
        <v>129</v>
      </c>
      <c r="N107" s="168" t="s">
        <v>145</v>
      </c>
      <c r="O107" s="168" t="s">
        <v>146</v>
      </c>
      <c r="P107" s="168" t="s">
        <v>147</v>
      </c>
      <c r="Q107" s="168" t="s">
        <v>148</v>
      </c>
      <c r="R107" s="168" t="s">
        <v>130</v>
      </c>
      <c r="S107" s="168" t="s">
        <v>131</v>
      </c>
      <c r="T107" s="168" t="s">
        <v>98</v>
      </c>
      <c r="U107" s="168" t="s">
        <v>140</v>
      </c>
      <c r="V107" s="170" t="str">
        <f>A109</f>
        <v>Swapportfolio_Marktwertkalkül_SPR_600BP</v>
      </c>
      <c r="W107" s="171" t="s">
        <v>132</v>
      </c>
      <c r="X107" s="171" t="s">
        <v>133</v>
      </c>
      <c r="Y107" s="171" t="s">
        <v>134</v>
      </c>
      <c r="Z107" s="171" t="s">
        <v>142</v>
      </c>
      <c r="AA107" s="171" t="s">
        <v>141</v>
      </c>
      <c r="AB107" s="171" t="s">
        <v>143</v>
      </c>
      <c r="AC107" s="171" t="s">
        <v>144</v>
      </c>
    </row>
    <row r="108" spans="1:29" x14ac:dyDescent="0.3">
      <c r="A108" s="172">
        <f>-($C$4+C107)/(1+$H$3)</f>
        <v>-5342.7144690328159</v>
      </c>
      <c r="B108" s="62"/>
      <c r="C108" s="62">
        <f>A108*(1+$H$3)</f>
        <v>-5449.5687584134721</v>
      </c>
      <c r="D108" s="62"/>
      <c r="G108" s="17" t="s">
        <v>47</v>
      </c>
      <c r="H108" s="44">
        <f>0.02+L108</f>
        <v>0.02</v>
      </c>
      <c r="I108" s="44">
        <f>0.04+L108</f>
        <v>0.04</v>
      </c>
      <c r="J108" s="154">
        <f>0.05+L108+M108</f>
        <v>6.0000000000000005E-2</v>
      </c>
      <c r="K108" s="154">
        <f>0.09+L108+M108</f>
        <v>9.9999999999999992E-2</v>
      </c>
      <c r="L108" s="108">
        <v>0</v>
      </c>
      <c r="M108" s="108">
        <v>0.01</v>
      </c>
      <c r="N108" s="17">
        <f>1/(1+H108)</f>
        <v>0.98039215686274506</v>
      </c>
      <c r="O108" s="17">
        <f>(1-I108*SUM($N108:N108))/(1+I108)</f>
        <v>0.92383107088989447</v>
      </c>
      <c r="P108" s="17">
        <f t="shared" ref="P108" si="42">1/(1+J108)</f>
        <v>0.94339622641509424</v>
      </c>
      <c r="Q108" s="17">
        <f>(1-K108*SUM($P108:P108))/(1+K108)</f>
        <v>0.82332761578044589</v>
      </c>
      <c r="R108" s="17">
        <f>SUMPRODUCT(N108:O108,$C$5:$D$5)</f>
        <v>109521.1161387632</v>
      </c>
      <c r="S108" s="17">
        <f>SUMPRODUCT(N108:O108,$C$6:$D$6)</f>
        <v>100000</v>
      </c>
      <c r="T108" s="17">
        <f>SUMPRODUCT(P108:Q108,$C$4:$D$4)</f>
        <v>98233.276157804445</v>
      </c>
      <c r="U108" s="20">
        <f>SUMPRODUCT($C$14:$D$14,N108:O108)-SUM($A$12:$A$13)</f>
        <v>0</v>
      </c>
      <c r="V108" s="20">
        <f>SUMPRODUCT($C$21:$D$21,N108:O108)-SUM($A$19:$A$20)</f>
        <v>0</v>
      </c>
    </row>
    <row r="109" spans="1:29" x14ac:dyDescent="0.3">
      <c r="A109" s="62" t="s">
        <v>155</v>
      </c>
      <c r="B109" s="62">
        <v>0</v>
      </c>
      <c r="C109" s="62">
        <f>SUM(C107:C108)</f>
        <v>-9000</v>
      </c>
      <c r="D109" s="62">
        <f>SUM(D107:D108)</f>
        <v>-92311.212281249711</v>
      </c>
      <c r="H109" s="44">
        <f>0.02+L109</f>
        <v>2.01E-2</v>
      </c>
      <c r="I109" s="44">
        <f>0.04+L109</f>
        <v>4.0100000000000004E-2</v>
      </c>
      <c r="J109" s="154">
        <f>0.05+L109+M109</f>
        <v>6.0100000000000008E-2</v>
      </c>
      <c r="K109" s="154">
        <f>0.09+L109+M109</f>
        <v>0.10009999999999999</v>
      </c>
      <c r="L109" s="173">
        <v>1E-4</v>
      </c>
      <c r="M109" s="173">
        <f>M108</f>
        <v>0.01</v>
      </c>
      <c r="N109" s="17">
        <f>1/(1+H109)</f>
        <v>0.98029604940692083</v>
      </c>
      <c r="O109" s="17">
        <f>(1-I109*SUM($N109:N109))/(1+I109)</f>
        <v>0.9236516954319608</v>
      </c>
      <c r="P109" s="17">
        <f>1/(1+J109)</f>
        <v>0.94330723516649373</v>
      </c>
      <c r="Q109" s="17">
        <f>(1-K109*SUM($P109:P109))/(1+K109)</f>
        <v>0.82317511658925002</v>
      </c>
      <c r="R109" s="17">
        <f>SUMPRODUCT(N109:O109,$C$5:$D$5)</f>
        <v>109500.69924674601</v>
      </c>
      <c r="S109" s="17">
        <f>SUMPRODUCT(N109:O109,$C$6:$D$6)</f>
        <v>99980.960522551599</v>
      </c>
      <c r="T109" s="17">
        <f>SUMPRODUCT(P109:Q109,$C$4:$D$4)</f>
        <v>98215.852824726695</v>
      </c>
      <c r="U109" s="20">
        <f>SUMPRODUCT($C$14:$D$14,N109:O109)-SUM($A$12:$A$13)</f>
        <v>20.416892017179634</v>
      </c>
      <c r="V109" s="20">
        <f>SUMPRODUCT(C109:D109,N109:O109)-SUM(A107:A108)</f>
        <v>17.423333077778807</v>
      </c>
      <c r="W109" s="155">
        <f>R109-$R$3</f>
        <v>-20.416892017194186</v>
      </c>
      <c r="X109" s="155">
        <f>S109-$S$3</f>
        <v>-19.039477448401158</v>
      </c>
      <c r="Y109" s="155">
        <f>T109-T108</f>
        <v>-17.423333077749703</v>
      </c>
      <c r="Z109" s="158">
        <f>U109+W109</f>
        <v>-1.4551915228366852E-11</v>
      </c>
      <c r="AA109" s="158">
        <f>U109+Y109</f>
        <v>2.9935589394299313</v>
      </c>
      <c r="AB109" s="158">
        <f>V109+W109</f>
        <v>-2.9935589394153794</v>
      </c>
      <c r="AC109" s="158">
        <f>V109+Y109</f>
        <v>2.9103830456733704E-11</v>
      </c>
    </row>
    <row r="110" spans="1:29" ht="69.599999999999994" x14ac:dyDescent="0.3">
      <c r="A110" s="169">
        <v>-86249.959167088455</v>
      </c>
      <c r="B110" s="62"/>
      <c r="C110" s="62">
        <f>A110*$I$3</f>
        <v>-3449.9983666835383</v>
      </c>
      <c r="D110" s="62">
        <f>A110*(1+$I$3)</f>
        <v>-89699.957533772002</v>
      </c>
      <c r="G110" s="17" t="s">
        <v>47</v>
      </c>
      <c r="H110" s="17">
        <v>1</v>
      </c>
      <c r="I110" s="17">
        <v>2</v>
      </c>
      <c r="J110" s="17">
        <v>1</v>
      </c>
      <c r="K110" s="17">
        <v>2</v>
      </c>
      <c r="L110" s="153" t="s">
        <v>128</v>
      </c>
      <c r="M110" s="168" t="s">
        <v>129</v>
      </c>
      <c r="N110" s="168" t="s">
        <v>145</v>
      </c>
      <c r="O110" s="168" t="s">
        <v>146</v>
      </c>
      <c r="P110" s="168" t="s">
        <v>147</v>
      </c>
      <c r="Q110" s="168" t="s">
        <v>148</v>
      </c>
      <c r="R110" s="168" t="s">
        <v>130</v>
      </c>
      <c r="S110" s="168" t="s">
        <v>131</v>
      </c>
      <c r="T110" s="168" t="s">
        <v>98</v>
      </c>
      <c r="U110" s="168" t="s">
        <v>140</v>
      </c>
      <c r="V110" s="170" t="str">
        <f>A112</f>
        <v>Swapportfolio_Marktwertkalkül_SPR_700BP</v>
      </c>
      <c r="W110" s="171" t="s">
        <v>132</v>
      </c>
      <c r="X110" s="171" t="s">
        <v>133</v>
      </c>
      <c r="Y110" s="171" t="s">
        <v>134</v>
      </c>
      <c r="Z110" s="171" t="s">
        <v>142</v>
      </c>
      <c r="AA110" s="171" t="s">
        <v>141</v>
      </c>
      <c r="AB110" s="171" t="s">
        <v>143</v>
      </c>
      <c r="AC110" s="171" t="s">
        <v>144</v>
      </c>
    </row>
    <row r="111" spans="1:29" x14ac:dyDescent="0.3">
      <c r="A111" s="172">
        <f>-($C$4+C110)/(1+$H$3)</f>
        <v>-5441.1780718788841</v>
      </c>
      <c r="B111" s="62"/>
      <c r="C111" s="62">
        <f>A111*(1+$H$3)</f>
        <v>-5550.0016333164622</v>
      </c>
      <c r="D111" s="62"/>
      <c r="G111" s="17" t="s">
        <v>47</v>
      </c>
      <c r="H111" s="44">
        <f>0.02+L111</f>
        <v>0.02</v>
      </c>
      <c r="I111" s="44">
        <f>0.04+L111</f>
        <v>0.04</v>
      </c>
      <c r="J111" s="154">
        <f>0.05+L111+M111</f>
        <v>7.0000000000000007E-2</v>
      </c>
      <c r="K111" s="154">
        <f>0.09+L111+M111</f>
        <v>0.11</v>
      </c>
      <c r="L111" s="108">
        <v>0</v>
      </c>
      <c r="M111" s="108">
        <v>0.02</v>
      </c>
      <c r="N111" s="17">
        <f>1/(1+H111)</f>
        <v>0.98039215686274506</v>
      </c>
      <c r="O111" s="17">
        <f>(1-I111*SUM($N111:N111))/(1+I111)</f>
        <v>0.92383107088989447</v>
      </c>
      <c r="P111" s="17">
        <f t="shared" ref="P111" si="43">1/(1+J111)</f>
        <v>0.93457943925233644</v>
      </c>
      <c r="Q111" s="17">
        <f>(1-K111*SUM($P111:P111))/(1+K111)</f>
        <v>0.8082849204344531</v>
      </c>
      <c r="R111" s="17">
        <f>SUMPRODUCT(N111:O111,$C$5:$D$5)</f>
        <v>109521.1161387632</v>
      </c>
      <c r="S111" s="17">
        <f>SUMPRODUCT(N111:O111,$C$6:$D$6)</f>
        <v>100000</v>
      </c>
      <c r="T111" s="17">
        <f>SUMPRODUCT(P111:Q111,$C$4:$D$4)</f>
        <v>96514.271280626417</v>
      </c>
      <c r="U111" s="20">
        <f>SUMPRODUCT($C$14:$D$14,N111:O111)-SUM($A$12:$A$13)</f>
        <v>0</v>
      </c>
      <c r="V111" s="20">
        <f>SUMPRODUCT($C$21:$D$21,N111:O111)-SUM($A$19:$A$20)</f>
        <v>0</v>
      </c>
    </row>
    <row r="112" spans="1:29" x14ac:dyDescent="0.3">
      <c r="A112" s="62" t="s">
        <v>156</v>
      </c>
      <c r="B112" s="62">
        <v>0</v>
      </c>
      <c r="C112" s="62">
        <f>SUM(C110:C111)</f>
        <v>-9000</v>
      </c>
      <c r="D112" s="62">
        <f>SUM(D110:D111)</f>
        <v>-89699.957533772002</v>
      </c>
      <c r="H112" s="44">
        <f>0.02+L112</f>
        <v>2.01E-2</v>
      </c>
      <c r="I112" s="44">
        <f>0.04+L112</f>
        <v>4.0100000000000004E-2</v>
      </c>
      <c r="J112" s="154">
        <f>0.05+L112+M112</f>
        <v>7.010000000000001E-2</v>
      </c>
      <c r="K112" s="154">
        <f>0.09+L112+M112</f>
        <v>0.1101</v>
      </c>
      <c r="L112" s="173">
        <v>1E-4</v>
      </c>
      <c r="M112" s="173">
        <f>M111</f>
        <v>0.02</v>
      </c>
      <c r="N112" s="17">
        <f>1/(1+H112)</f>
        <v>0.98029604940692083</v>
      </c>
      <c r="O112" s="17">
        <f>(1-I112*SUM($N112:N112))/(1+I112)</f>
        <v>0.9236516954319608</v>
      </c>
      <c r="P112" s="17">
        <f>1/(1+J112)</f>
        <v>0.93449210354172507</v>
      </c>
      <c r="Q112" s="17">
        <f>(1-K112*SUM($P112:P112))/(1+K112)</f>
        <v>0.80813658174944236</v>
      </c>
      <c r="R112" s="17">
        <f>SUMPRODUCT(N112:O112,$C$5:$D$5)</f>
        <v>109500.69924674601</v>
      </c>
      <c r="S112" s="17">
        <f>SUMPRODUCT(N112:O112,$C$6:$D$6)</f>
        <v>99980.960522551599</v>
      </c>
      <c r="T112" s="17">
        <f>SUMPRODUCT(P112:Q112,$C$4:$D$4)</f>
        <v>96497.316342564736</v>
      </c>
      <c r="U112" s="20">
        <f>SUMPRODUCT($C$14:$D$14,N112:O112)-SUM($A$12:$A$13)</f>
        <v>20.416892017179634</v>
      </c>
      <c r="V112" s="20">
        <f>SUMPRODUCT(C112:D112,N112:O112)-SUM(A110:A111)</f>
        <v>16.954938061651774</v>
      </c>
      <c r="W112" s="155">
        <f>R112-$R$3</f>
        <v>-20.416892017194186</v>
      </c>
      <c r="X112" s="155">
        <f>S112-$S$3</f>
        <v>-19.039477448401158</v>
      </c>
      <c r="Y112" s="155">
        <f>T112-T111</f>
        <v>-16.954938061680878</v>
      </c>
      <c r="Z112" s="158">
        <f>U112+W112</f>
        <v>-1.4551915228366852E-11</v>
      </c>
      <c r="AA112" s="158">
        <f>U112+Y112</f>
        <v>3.4619539554987568</v>
      </c>
      <c r="AB112" s="158">
        <f>V112+W112</f>
        <v>-3.4619539555424126</v>
      </c>
      <c r="AC112" s="158">
        <f>V112+Y112</f>
        <v>-2.9103830456733704E-11</v>
      </c>
    </row>
    <row r="113" spans="1:29" ht="69.599999999999994" x14ac:dyDescent="0.3">
      <c r="A113" s="169">
        <v>-83828.985674818556</v>
      </c>
      <c r="B113" s="62"/>
      <c r="C113" s="62">
        <f>A113*$I$3</f>
        <v>-3353.1594269927423</v>
      </c>
      <c r="D113" s="62">
        <f>A113*(1+$I$3)</f>
        <v>-87182.1451018113</v>
      </c>
      <c r="G113" s="17" t="s">
        <v>47</v>
      </c>
      <c r="H113" s="17">
        <v>1</v>
      </c>
      <c r="I113" s="17">
        <v>2</v>
      </c>
      <c r="J113" s="17">
        <v>1</v>
      </c>
      <c r="K113" s="17">
        <v>2</v>
      </c>
      <c r="L113" s="153" t="s">
        <v>128</v>
      </c>
      <c r="M113" s="168" t="s">
        <v>129</v>
      </c>
      <c r="N113" s="168" t="s">
        <v>145</v>
      </c>
      <c r="O113" s="168" t="s">
        <v>146</v>
      </c>
      <c r="P113" s="168" t="s">
        <v>147</v>
      </c>
      <c r="Q113" s="168" t="s">
        <v>148</v>
      </c>
      <c r="R113" s="168" t="s">
        <v>130</v>
      </c>
      <c r="S113" s="168" t="s">
        <v>131</v>
      </c>
      <c r="T113" s="168" t="s">
        <v>98</v>
      </c>
      <c r="U113" s="168" t="s">
        <v>140</v>
      </c>
      <c r="V113" s="170" t="str">
        <f>A115</f>
        <v>Swapportfolio_Marktwertkalkül_SPR_800BP</v>
      </c>
      <c r="W113" s="171" t="s">
        <v>132</v>
      </c>
      <c r="X113" s="171" t="s">
        <v>133</v>
      </c>
      <c r="Y113" s="171" t="s">
        <v>134</v>
      </c>
      <c r="Z113" s="171" t="s">
        <v>142</v>
      </c>
      <c r="AA113" s="171" t="s">
        <v>141</v>
      </c>
      <c r="AB113" s="171" t="s">
        <v>143</v>
      </c>
      <c r="AC113" s="171" t="s">
        <v>144</v>
      </c>
    </row>
    <row r="114" spans="1:29" x14ac:dyDescent="0.3">
      <c r="A114" s="172">
        <f>-($C$4+C113)/(1+$H$3)</f>
        <v>-5536.1182088306441</v>
      </c>
      <c r="B114" s="62"/>
      <c r="C114" s="62">
        <f>A114*(1+$H$3)</f>
        <v>-5646.8405730072573</v>
      </c>
      <c r="D114" s="62"/>
      <c r="G114" s="17" t="s">
        <v>47</v>
      </c>
      <c r="H114" s="44">
        <f>0.02+L114</f>
        <v>0.02</v>
      </c>
      <c r="I114" s="44">
        <f>0.04+L114</f>
        <v>0.04</v>
      </c>
      <c r="J114" s="154">
        <f>0.05+L114+M114</f>
        <v>0.08</v>
      </c>
      <c r="K114" s="154">
        <f>0.09+L114+M114</f>
        <v>0.12</v>
      </c>
      <c r="L114" s="108">
        <v>0</v>
      </c>
      <c r="M114" s="108">
        <v>0.03</v>
      </c>
      <c r="N114" s="17">
        <f>1/(1+H114)</f>
        <v>0.98039215686274506</v>
      </c>
      <c r="O114" s="17">
        <f>(1-I114*SUM($N114:N114))/(1+I114)</f>
        <v>0.92383107088989447</v>
      </c>
      <c r="P114" s="17">
        <f t="shared" ref="P114" si="44">1/(1+J114)</f>
        <v>0.92592592592592582</v>
      </c>
      <c r="Q114" s="17">
        <f>(1-K114*SUM($P114:P114))/(1+K114)</f>
        <v>0.79365079365079361</v>
      </c>
      <c r="R114" s="17">
        <f>SUMPRODUCT(N114:O114,$C$5:$D$5)</f>
        <v>109521.1161387632</v>
      </c>
      <c r="S114" s="17">
        <f>SUMPRODUCT(N114:O114,$C$6:$D$6)</f>
        <v>100000</v>
      </c>
      <c r="T114" s="17">
        <f>SUMPRODUCT(P114:Q114,$C$4:$D$4)</f>
        <v>94841.269841269837</v>
      </c>
      <c r="U114" s="20">
        <f>SUMPRODUCT($C$14:$D$14,N114:O114)-SUM($A$12:$A$13)</f>
        <v>0</v>
      </c>
      <c r="V114" s="20">
        <f>SUMPRODUCT($C$21:$D$21,N114:O114)-SUM($A$19:$A$20)</f>
        <v>0</v>
      </c>
    </row>
    <row r="115" spans="1:29" x14ac:dyDescent="0.3">
      <c r="A115" s="62" t="s">
        <v>157</v>
      </c>
      <c r="B115" s="62">
        <v>0</v>
      </c>
      <c r="C115" s="62">
        <f>SUM(C113:C114)</f>
        <v>-9000</v>
      </c>
      <c r="D115" s="62">
        <f>SUM(D113:D114)</f>
        <v>-87182.1451018113</v>
      </c>
      <c r="H115" s="44">
        <f>0.02+L115</f>
        <v>2.01E-2</v>
      </c>
      <c r="I115" s="44">
        <f>0.04+L115</f>
        <v>4.0100000000000004E-2</v>
      </c>
      <c r="J115" s="154">
        <f>0.05+L115+M115</f>
        <v>8.0100000000000005E-2</v>
      </c>
      <c r="K115" s="154">
        <f>0.09+L115+M115</f>
        <v>0.1201</v>
      </c>
      <c r="L115" s="173">
        <v>1E-4</v>
      </c>
      <c r="M115" s="173">
        <f>M114</f>
        <v>0.03</v>
      </c>
      <c r="N115" s="17">
        <f>1/(1+H115)</f>
        <v>0.98029604940692083</v>
      </c>
      <c r="O115" s="17">
        <f>(1-I115*SUM($N115:N115))/(1+I115)</f>
        <v>0.9236516954319608</v>
      </c>
      <c r="P115" s="17">
        <f>1/(1+J115)</f>
        <v>0.92584019998148315</v>
      </c>
      <c r="Q115" s="17">
        <f>(1-K115*SUM($P115:P115))/(1+K115)</f>
        <v>0.79350646547828219</v>
      </c>
      <c r="R115" s="17">
        <f>SUMPRODUCT(N115:O115,$C$5:$D$5)</f>
        <v>109500.69924674601</v>
      </c>
      <c r="S115" s="17">
        <f>SUMPRODUCT(N115:O115,$C$6:$D$6)</f>
        <v>99980.960522551599</v>
      </c>
      <c r="T115" s="17">
        <f>SUMPRODUCT(P115:Q115,$C$4:$D$4)</f>
        <v>94824.766536966112</v>
      </c>
      <c r="U115" s="20">
        <f>SUMPRODUCT($C$14:$D$14,N115:O115)-SUM($A$12:$A$13)</f>
        <v>20.416892017179634</v>
      </c>
      <c r="V115" s="20">
        <f>SUMPRODUCT(C115:D115,N115:O115)-SUM(A113:A114)</f>
        <v>16.503304303681944</v>
      </c>
      <c r="W115" s="155">
        <f>R115-$R$3</f>
        <v>-20.416892017194186</v>
      </c>
      <c r="X115" s="155">
        <f>S115-$S$3</f>
        <v>-19.039477448401158</v>
      </c>
      <c r="Y115" s="155">
        <f>T115-T114</f>
        <v>-16.503304303725599</v>
      </c>
      <c r="Z115" s="158">
        <f>U115+W115</f>
        <v>-1.4551915228366852E-11</v>
      </c>
      <c r="AA115" s="158">
        <f>U115+Y115</f>
        <v>3.9135877134540351</v>
      </c>
      <c r="AB115" s="158">
        <f>V115+W115</f>
        <v>-3.9135877135122428</v>
      </c>
      <c r="AC115" s="158">
        <f>V115+Y115</f>
        <v>-4.3655745685100555E-11</v>
      </c>
    </row>
    <row r="116" spans="1:29" ht="69.599999999999994" x14ac:dyDescent="0.3">
      <c r="A116" s="169">
        <v>-81493.865339144031</v>
      </c>
      <c r="B116" s="62"/>
      <c r="C116" s="62">
        <f>A116*$I$3</f>
        <v>-3259.7546135657612</v>
      </c>
      <c r="D116" s="62">
        <f>A116*(1+$I$3)</f>
        <v>-84753.619952709792</v>
      </c>
      <c r="G116" s="17" t="s">
        <v>47</v>
      </c>
      <c r="H116" s="17">
        <v>1</v>
      </c>
      <c r="I116" s="17">
        <v>2</v>
      </c>
      <c r="J116" s="17">
        <v>1</v>
      </c>
      <c r="K116" s="17">
        <v>2</v>
      </c>
      <c r="L116" s="153" t="s">
        <v>128</v>
      </c>
      <c r="M116" s="168" t="s">
        <v>129</v>
      </c>
      <c r="N116" s="168" t="s">
        <v>145</v>
      </c>
      <c r="O116" s="168" t="s">
        <v>146</v>
      </c>
      <c r="P116" s="168" t="s">
        <v>147</v>
      </c>
      <c r="Q116" s="168" t="s">
        <v>148</v>
      </c>
      <c r="R116" s="168" t="s">
        <v>130</v>
      </c>
      <c r="S116" s="168" t="s">
        <v>131</v>
      </c>
      <c r="T116" s="168" t="s">
        <v>98</v>
      </c>
      <c r="U116" s="168" t="s">
        <v>140</v>
      </c>
      <c r="V116" s="170" t="str">
        <f>A118</f>
        <v>Swapportfolio_Marktwertkalkül_SPR_900BP</v>
      </c>
      <c r="W116" s="171" t="s">
        <v>132</v>
      </c>
      <c r="X116" s="171" t="s">
        <v>133</v>
      </c>
      <c r="Y116" s="171" t="s">
        <v>134</v>
      </c>
      <c r="Z116" s="171" t="s">
        <v>142</v>
      </c>
      <c r="AA116" s="171" t="s">
        <v>141</v>
      </c>
      <c r="AB116" s="171" t="s">
        <v>143</v>
      </c>
      <c r="AC116" s="171" t="s">
        <v>144</v>
      </c>
    </row>
    <row r="117" spans="1:29" x14ac:dyDescent="0.3">
      <c r="A117" s="172">
        <f>-($C$4+C116)/(1+$H$3)</f>
        <v>-5627.6915553276849</v>
      </c>
      <c r="B117" s="62"/>
      <c r="C117" s="62">
        <f>A117*(1+$H$3)</f>
        <v>-5740.2453864342388</v>
      </c>
      <c r="D117" s="62"/>
      <c r="G117" s="17" t="s">
        <v>47</v>
      </c>
      <c r="H117" s="44">
        <f>0.02+L117</f>
        <v>0.02</v>
      </c>
      <c r="I117" s="44">
        <f>0.04+L117</f>
        <v>0.04</v>
      </c>
      <c r="J117" s="154">
        <f>0.05+L117+M117</f>
        <v>0.09</v>
      </c>
      <c r="K117" s="154">
        <f>0.09+L117+M117</f>
        <v>0.13</v>
      </c>
      <c r="L117" s="108">
        <v>0</v>
      </c>
      <c r="M117" s="108">
        <v>0.04</v>
      </c>
      <c r="N117" s="17">
        <f>1/(1+H117)</f>
        <v>0.98039215686274506</v>
      </c>
      <c r="O117" s="17">
        <f>(1-I117*SUM($N117:N117))/(1+I117)</f>
        <v>0.92383107088989447</v>
      </c>
      <c r="P117" s="17">
        <f t="shared" ref="P117" si="45">1/(1+J117)</f>
        <v>0.9174311926605504</v>
      </c>
      <c r="Q117" s="17">
        <f>(1-K117*SUM($P117:P117))/(1+K117)</f>
        <v>0.77941057075586595</v>
      </c>
      <c r="R117" s="17">
        <f>SUMPRODUCT(N117:O117,$C$5:$D$5)</f>
        <v>109521.1161387632</v>
      </c>
      <c r="S117" s="17">
        <f>SUMPRODUCT(N117:O117,$C$6:$D$6)</f>
        <v>100000</v>
      </c>
      <c r="T117" s="17">
        <f>SUMPRODUCT(P117:Q117,$C$4:$D$4)</f>
        <v>93212.632946334343</v>
      </c>
      <c r="U117" s="20">
        <f>SUMPRODUCT($C$14:$D$14,N117:O117)-SUM($A$12:$A$13)</f>
        <v>0</v>
      </c>
      <c r="V117" s="20">
        <f>SUMPRODUCT($C$21:$D$21,N117:O117)-SUM($A$19:$A$20)</f>
        <v>0</v>
      </c>
    </row>
    <row r="118" spans="1:29" x14ac:dyDescent="0.3">
      <c r="A118" s="62" t="s">
        <v>158</v>
      </c>
      <c r="B118" s="62">
        <v>0</v>
      </c>
      <c r="C118" s="62">
        <f>SUM(C116:C117)</f>
        <v>-9000</v>
      </c>
      <c r="D118" s="62">
        <f>SUM(D116:D117)</f>
        <v>-84753.619952709792</v>
      </c>
      <c r="H118" s="44">
        <f>0.02+L118</f>
        <v>2.01E-2</v>
      </c>
      <c r="I118" s="44">
        <f>0.04+L118</f>
        <v>4.0100000000000004E-2</v>
      </c>
      <c r="J118" s="154">
        <f>0.05+L118+M118</f>
        <v>9.0100000000000013E-2</v>
      </c>
      <c r="K118" s="154">
        <f>0.09+L118+M118</f>
        <v>0.13009999999999999</v>
      </c>
      <c r="L118" s="173">
        <v>1E-4</v>
      </c>
      <c r="M118" s="173">
        <f>M117</f>
        <v>0.04</v>
      </c>
      <c r="N118" s="17">
        <f>1/(1+H118)</f>
        <v>0.98029604940692083</v>
      </c>
      <c r="O118" s="17">
        <f>(1-I118*SUM($N118:N118))/(1+I118)</f>
        <v>0.9236516954319608</v>
      </c>
      <c r="P118" s="17">
        <f>1/(1+J118)</f>
        <v>0.91734703238235016</v>
      </c>
      <c r="Q118" s="17">
        <f>(1-K118*SUM($P118:P118))/(1+K118)</f>
        <v>0.77927010980183709</v>
      </c>
      <c r="R118" s="17">
        <f>SUMPRODUCT(N118:O118,$C$5:$D$5)</f>
        <v>109500.69924674601</v>
      </c>
      <c r="S118" s="17">
        <f>SUMPRODUCT(N118:O118,$C$6:$D$6)</f>
        <v>99980.960522551599</v>
      </c>
      <c r="T118" s="17">
        <f>SUMPRODUCT(P118:Q118,$C$4:$D$4)</f>
        <v>93196.565259841387</v>
      </c>
      <c r="U118" s="20">
        <f>SUMPRODUCT($C$14:$D$14,N118:O118)-SUM($A$12:$A$13)</f>
        <v>20.416892017179634</v>
      </c>
      <c r="V118" s="20">
        <f>SUMPRODUCT(C118:D118,N118:O118)-SUM(A116:A117)</f>
        <v>16.067686492984649</v>
      </c>
      <c r="W118" s="155">
        <f>R118-$R$3</f>
        <v>-20.416892017194186</v>
      </c>
      <c r="X118" s="155">
        <f>S118-$S$3</f>
        <v>-19.039477448401158</v>
      </c>
      <c r="Y118" s="155">
        <f>T118-T117</f>
        <v>-16.067686492955545</v>
      </c>
      <c r="Z118" s="158">
        <f>U118+W118</f>
        <v>-1.4551915228366852E-11</v>
      </c>
      <c r="AA118" s="158">
        <f>U118+Y118</f>
        <v>4.3492055242240895</v>
      </c>
      <c r="AB118" s="158">
        <f>V118+W118</f>
        <v>-4.3492055242095375</v>
      </c>
      <c r="AC118" s="158">
        <f>V118+Y118</f>
        <v>2.9103830456733704E-11</v>
      </c>
    </row>
    <row r="119" spans="1:29" ht="69.599999999999994" x14ac:dyDescent="0.3">
      <c r="A119" s="169">
        <v>-79240.814564003987</v>
      </c>
      <c r="B119" s="62"/>
      <c r="C119" s="62">
        <f>A119*$I$3</f>
        <v>-3169.6325825601598</v>
      </c>
      <c r="D119" s="62">
        <f>A119*(1+$I$3)</f>
        <v>-82410.447146564155</v>
      </c>
      <c r="G119" s="17" t="s">
        <v>47</v>
      </c>
      <c r="H119" s="17">
        <v>1</v>
      </c>
      <c r="I119" s="17">
        <v>2</v>
      </c>
      <c r="J119" s="17">
        <v>1</v>
      </c>
      <c r="K119" s="17">
        <v>2</v>
      </c>
      <c r="L119" s="153" t="s">
        <v>128</v>
      </c>
      <c r="M119" s="168" t="s">
        <v>129</v>
      </c>
      <c r="N119" s="168" t="s">
        <v>145</v>
      </c>
      <c r="O119" s="168" t="s">
        <v>146</v>
      </c>
      <c r="P119" s="168" t="s">
        <v>147</v>
      </c>
      <c r="Q119" s="168" t="s">
        <v>148</v>
      </c>
      <c r="R119" s="168" t="s">
        <v>130</v>
      </c>
      <c r="S119" s="168" t="s">
        <v>131</v>
      </c>
      <c r="T119" s="168" t="s">
        <v>98</v>
      </c>
      <c r="U119" s="168" t="s">
        <v>140</v>
      </c>
      <c r="V119" s="170" t="str">
        <f>A121</f>
        <v>Swapportfolio_Marktwertkalkül_SPR_1000BP</v>
      </c>
      <c r="W119" s="171" t="s">
        <v>132</v>
      </c>
      <c r="X119" s="171" t="s">
        <v>133</v>
      </c>
      <c r="Y119" s="171" t="s">
        <v>134</v>
      </c>
      <c r="Z119" s="171" t="s">
        <v>142</v>
      </c>
      <c r="AA119" s="171" t="s">
        <v>141</v>
      </c>
      <c r="AB119" s="171" t="s">
        <v>143</v>
      </c>
      <c r="AC119" s="171" t="s">
        <v>144</v>
      </c>
    </row>
    <row r="120" spans="1:29" x14ac:dyDescent="0.3">
      <c r="A120" s="172">
        <f>-($C$4+C119)/(1+$H$3)</f>
        <v>-5716.0464876861179</v>
      </c>
      <c r="B120" s="62"/>
      <c r="C120" s="62">
        <f>A120*(1+$H$3)</f>
        <v>-5830.3674174398402</v>
      </c>
      <c r="D120" s="62"/>
      <c r="G120" s="17" t="s">
        <v>47</v>
      </c>
      <c r="H120" s="44">
        <f>0.02+L120</f>
        <v>0.02</v>
      </c>
      <c r="I120" s="44">
        <f>0.04+L120</f>
        <v>0.04</v>
      </c>
      <c r="J120" s="154">
        <f>0.05+L120+M120</f>
        <v>0.1</v>
      </c>
      <c r="K120" s="154">
        <f>0.09+L120+M120</f>
        <v>0.14000000000000001</v>
      </c>
      <c r="L120" s="108">
        <v>0</v>
      </c>
      <c r="M120" s="108">
        <v>0.05</v>
      </c>
      <c r="N120" s="17">
        <f>1/(1+H120)</f>
        <v>0.98039215686274506</v>
      </c>
      <c r="O120" s="17">
        <f>(1-I120*SUM($N120:N120))/(1+I120)</f>
        <v>0.92383107088989447</v>
      </c>
      <c r="P120" s="17">
        <f t="shared" ref="P120" si="46">1/(1+J120)</f>
        <v>0.90909090909090906</v>
      </c>
      <c r="Q120" s="17">
        <f>(1-K120*SUM($P120:P120))/(1+K120)</f>
        <v>0.76555023923444965</v>
      </c>
      <c r="R120" s="17">
        <f>SUMPRODUCT(N120:O120,$C$5:$D$5)</f>
        <v>109521.1161387632</v>
      </c>
      <c r="S120" s="17">
        <f>SUMPRODUCT(N120:O120,$C$6:$D$6)</f>
        <v>100000</v>
      </c>
      <c r="T120" s="17">
        <f>SUMPRODUCT(P120:Q120,$C$4:$D$4)</f>
        <v>91626.794258373193</v>
      </c>
      <c r="U120" s="20">
        <f>SUMPRODUCT($C$14:$D$14,N120:O120)-SUM($A$12:$A$13)</f>
        <v>0</v>
      </c>
      <c r="V120" s="20">
        <f>SUMPRODUCT($C$21:$D$21,N120:O120)-SUM($A$19:$A$20)</f>
        <v>0</v>
      </c>
    </row>
    <row r="121" spans="1:29" x14ac:dyDescent="0.3">
      <c r="A121" s="62" t="s">
        <v>159</v>
      </c>
      <c r="B121" s="62">
        <v>0</v>
      </c>
      <c r="C121" s="62">
        <f>SUM(C119:C120)</f>
        <v>-9000</v>
      </c>
      <c r="D121" s="62">
        <f>SUM(D119:D120)</f>
        <v>-82410.447146564155</v>
      </c>
      <c r="H121" s="44">
        <f>0.02+L121</f>
        <v>2.01E-2</v>
      </c>
      <c r="I121" s="44">
        <f>0.04+L121</f>
        <v>4.0100000000000004E-2</v>
      </c>
      <c r="J121" s="154">
        <f>0.05+L121+M121</f>
        <v>0.10010000000000001</v>
      </c>
      <c r="K121" s="154">
        <f>0.09+L121+M121</f>
        <v>0.1401</v>
      </c>
      <c r="L121" s="173">
        <v>1E-4</v>
      </c>
      <c r="M121" s="173">
        <f>M120</f>
        <v>0.05</v>
      </c>
      <c r="N121" s="17">
        <f>1/(1+H121)</f>
        <v>0.98029604940692083</v>
      </c>
      <c r="O121" s="17">
        <f>(1-I121*SUM($N121:N121))/(1+I121)</f>
        <v>0.9236516954319608</v>
      </c>
      <c r="P121" s="17">
        <f>1/(1+J121)</f>
        <v>0.9090082719752749</v>
      </c>
      <c r="Q121" s="17">
        <f>(1-K121*SUM($P121:P121))/(1+K121)</f>
        <v>0.76541350854860457</v>
      </c>
      <c r="R121" s="17">
        <f>SUMPRODUCT(N121:O121,$C$5:$D$5)</f>
        <v>109500.69924674601</v>
      </c>
      <c r="S121" s="17">
        <f>SUMPRODUCT(N121:O121,$C$6:$D$6)</f>
        <v>99980.960522551599</v>
      </c>
      <c r="T121" s="17">
        <f>SUMPRODUCT(P121:Q121,$C$4:$D$4)</f>
        <v>91611.146879575375</v>
      </c>
      <c r="U121" s="20">
        <f>SUMPRODUCT($C$14:$D$14,N121:O121)-SUM($A$12:$A$13)</f>
        <v>20.416892017179634</v>
      </c>
      <c r="V121" s="20">
        <f>SUMPRODUCT(C121:D121,N121:O121)-SUM(A119:A120)</f>
        <v>15.647378797846613</v>
      </c>
      <c r="W121" s="155">
        <f>R121-$R$3</f>
        <v>-20.416892017194186</v>
      </c>
      <c r="X121" s="155">
        <f>S121-$S$3</f>
        <v>-19.039477448401158</v>
      </c>
      <c r="Y121" s="155">
        <f>T121-T120</f>
        <v>-15.64737879781751</v>
      </c>
      <c r="Z121" s="158">
        <f>U121+W121</f>
        <v>-1.4551915228366852E-11</v>
      </c>
      <c r="AA121" s="158">
        <f>U121+Y121</f>
        <v>4.7695132193621248</v>
      </c>
      <c r="AB121" s="158">
        <f>V121+W121</f>
        <v>-4.7695132193475729</v>
      </c>
      <c r="AC121" s="158">
        <f>V121+Y121</f>
        <v>2.9103830456733704E-11</v>
      </c>
    </row>
  </sheetData>
  <mergeCells count="8">
    <mergeCell ref="C23:D23"/>
    <mergeCell ref="B67:F67"/>
    <mergeCell ref="G67:K67"/>
    <mergeCell ref="C2:D2"/>
    <mergeCell ref="A9:D9"/>
    <mergeCell ref="C10:D10"/>
    <mergeCell ref="A16:D16"/>
    <mergeCell ref="C17:D17"/>
  </mergeCells>
  <phoneticPr fontId="2" type="noConversion"/>
  <hyperlinks>
    <hyperlink ref="A16:D16" location="'Exkurs Nebenrechnungen'!A38" display="Swapportfolio_Marktwert"/>
    <hyperlink ref="A19" location="'Exkurs Nebenrechnungen'!A51" display="'Exkurs Nebenrechnungen'!A51"/>
  </hyperlink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zoomScale="70" zoomScaleNormal="70" zoomScaleSheetLayoutView="110" workbookViewId="0">
      <selection activeCell="A38" sqref="A38"/>
    </sheetView>
  </sheetViews>
  <sheetFormatPr baseColWidth="10" defaultColWidth="11.5546875" defaultRowHeight="13.8" x14ac:dyDescent="0.25"/>
  <cols>
    <col min="1" max="1" width="15.109375" style="17" customWidth="1"/>
    <col min="2" max="2" width="14.88671875" style="17" bestFit="1" customWidth="1"/>
    <col min="3" max="3" width="12.88671875" style="17" bestFit="1" customWidth="1"/>
    <col min="4" max="4" width="15.88671875" style="17" bestFit="1" customWidth="1"/>
    <col min="5" max="5" width="11.5546875" style="17"/>
    <col min="6" max="6" width="25.109375" style="17" customWidth="1"/>
    <col min="7" max="7" width="14" style="17" bestFit="1" customWidth="1"/>
    <col min="8" max="8" width="11.6640625" style="17" bestFit="1" customWidth="1"/>
    <col min="9" max="9" width="23.33203125" style="17" bestFit="1" customWidth="1"/>
    <col min="10" max="10" width="11.5546875" style="17"/>
    <col min="11" max="11" width="28.109375" style="17" bestFit="1" customWidth="1"/>
    <col min="12" max="12" width="14" style="17" bestFit="1" customWidth="1"/>
    <col min="13" max="13" width="11.6640625" style="17" bestFit="1" customWidth="1"/>
    <col min="14" max="14" width="13" style="17" bestFit="1" customWidth="1"/>
    <col min="15" max="16384" width="11.5546875" style="17"/>
  </cols>
  <sheetData>
    <row r="1" spans="1:14" x14ac:dyDescent="0.25">
      <c r="A1" s="189" t="s">
        <v>248</v>
      </c>
    </row>
    <row r="2" spans="1:14" x14ac:dyDescent="0.25">
      <c r="A2" s="49" t="s">
        <v>98</v>
      </c>
      <c r="F2" s="49" t="s">
        <v>191</v>
      </c>
      <c r="K2" s="49" t="s">
        <v>192</v>
      </c>
    </row>
    <row r="3" spans="1:14" x14ac:dyDescent="0.25">
      <c r="B3" s="17">
        <v>-100000</v>
      </c>
      <c r="C3" s="17">
        <f>(-B3*D10)</f>
        <v>9000</v>
      </c>
      <c r="D3" s="17">
        <f>(-B3*D10-B3)</f>
        <v>109000</v>
      </c>
      <c r="G3" s="17">
        <f>(B3)</f>
        <v>-100000</v>
      </c>
      <c r="H3" s="17">
        <f t="shared" ref="H3:I3" si="0">(C3)</f>
        <v>9000</v>
      </c>
      <c r="I3" s="17">
        <f t="shared" si="0"/>
        <v>109000</v>
      </c>
      <c r="L3" s="17">
        <v>-100000</v>
      </c>
      <c r="M3" s="17">
        <f>(-L3*N10)</f>
        <v>4000</v>
      </c>
      <c r="N3" s="17">
        <f>(-L3*N10-L3)</f>
        <v>104000</v>
      </c>
    </row>
    <row r="4" spans="1:14" x14ac:dyDescent="0.25">
      <c r="B4" s="51"/>
      <c r="C4" s="51"/>
      <c r="D4" s="51"/>
    </row>
    <row r="5" spans="1:14" ht="16.8" hidden="1" thickTop="1" thickBot="1" x14ac:dyDescent="0.3">
      <c r="C5" s="11">
        <v>0.02</v>
      </c>
      <c r="D5" s="12">
        <v>0.04</v>
      </c>
      <c r="H5" s="11">
        <v>0.02</v>
      </c>
      <c r="I5" s="12">
        <v>0.04</v>
      </c>
      <c r="M5" s="11">
        <v>0.02</v>
      </c>
      <c r="N5" s="12">
        <v>0.04</v>
      </c>
    </row>
    <row r="6" spans="1:14" ht="16.2" hidden="1" thickBot="1" x14ac:dyDescent="0.3">
      <c r="C6" s="13">
        <v>0.03</v>
      </c>
      <c r="D6" s="14">
        <v>0.05</v>
      </c>
      <c r="H6" s="13">
        <v>0.03</v>
      </c>
      <c r="I6" s="14">
        <v>0.05</v>
      </c>
      <c r="M6" s="13">
        <v>0.03</v>
      </c>
      <c r="N6" s="14">
        <v>0.05</v>
      </c>
    </row>
    <row r="7" spans="1:14" ht="16.2" hidden="1" thickBot="1" x14ac:dyDescent="0.3">
      <c r="C7" s="15">
        <v>2.5000000000000001E-3</v>
      </c>
      <c r="D7" s="16">
        <v>5.0000000000000001E-3</v>
      </c>
      <c r="H7" s="15">
        <v>2.5000000000000001E-3</v>
      </c>
      <c r="I7" s="16">
        <v>5.0000000000000001E-3</v>
      </c>
      <c r="M7" s="15">
        <v>2.5000000000000001E-3</v>
      </c>
      <c r="N7" s="16">
        <v>5.0000000000000001E-3</v>
      </c>
    </row>
    <row r="8" spans="1:14" ht="16.2" hidden="1" thickBot="1" x14ac:dyDescent="0.3">
      <c r="C8" s="13">
        <v>0.05</v>
      </c>
      <c r="D8" s="14">
        <v>0.09</v>
      </c>
      <c r="H8" s="13">
        <v>0.05</v>
      </c>
      <c r="I8" s="14">
        <v>0.09</v>
      </c>
      <c r="M8" s="13">
        <v>0.05</v>
      </c>
      <c r="N8" s="14">
        <v>0.09</v>
      </c>
    </row>
    <row r="9" spans="1:14" ht="16.2" hidden="1" thickBot="1" x14ac:dyDescent="0.3">
      <c r="C9" s="15">
        <v>2.2499999999999999E-2</v>
      </c>
      <c r="D9" s="16">
        <v>4.4999999999999998E-2</v>
      </c>
      <c r="H9" s="15">
        <v>2.2499999999999999E-2</v>
      </c>
      <c r="I9" s="16">
        <v>4.4999999999999998E-2</v>
      </c>
      <c r="M9" s="15">
        <v>2.2499999999999999E-2</v>
      </c>
      <c r="N9" s="16">
        <v>4.4999999999999998E-2</v>
      </c>
    </row>
    <row r="10" spans="1:14" x14ac:dyDescent="0.25">
      <c r="C10" s="180">
        <v>0.05</v>
      </c>
      <c r="D10" s="180">
        <v>0.09</v>
      </c>
      <c r="H10" s="180">
        <v>0.02</v>
      </c>
      <c r="I10" s="180">
        <v>0.04</v>
      </c>
      <c r="M10" s="180">
        <v>0.02</v>
      </c>
      <c r="N10" s="180">
        <v>0.04</v>
      </c>
    </row>
    <row r="11" spans="1:14" x14ac:dyDescent="0.25">
      <c r="C11" s="181">
        <f>(1/(1+C10))</f>
        <v>0.95238095238095233</v>
      </c>
      <c r="D11" s="181">
        <f>(1-D10*SUM(C11:$C$11))/(1+D10)</f>
        <v>0.83879423328964609</v>
      </c>
      <c r="H11" s="181">
        <f>(1/(1+H10))</f>
        <v>0.98039215686274506</v>
      </c>
      <c r="I11" s="181">
        <f>(1-I10*SUM($H11:H$11))/(1+I10)</f>
        <v>0.92383107088989447</v>
      </c>
      <c r="M11" s="181">
        <f>(1/(1+M10))</f>
        <v>0.98039215686274506</v>
      </c>
      <c r="N11" s="181">
        <f>(1-N10*SUM($M11:M$11))/(1+N10)</f>
        <v>0.92383107088989447</v>
      </c>
    </row>
    <row r="12" spans="1:14" x14ac:dyDescent="0.25">
      <c r="B12" s="182">
        <f>(C3*C11+D3*D11)</f>
        <v>99999.999999999985</v>
      </c>
      <c r="C12" s="182">
        <f>(C3*C11)</f>
        <v>8571.4285714285706</v>
      </c>
      <c r="D12" s="182">
        <f>(D3*D11)</f>
        <v>91428.57142857142</v>
      </c>
      <c r="G12" s="182">
        <f>(H3*H11+I3*I11)</f>
        <v>109521.1161387632</v>
      </c>
      <c r="H12" s="182">
        <f>(H3*H11)</f>
        <v>8823.5294117647063</v>
      </c>
      <c r="I12" s="182">
        <f>(I3*I11)</f>
        <v>100697.5867269985</v>
      </c>
      <c r="L12" s="182">
        <f>(M3*M11+N3*N11)</f>
        <v>100000</v>
      </c>
      <c r="M12" s="182">
        <f>(M3*M11)</f>
        <v>3921.5686274509803</v>
      </c>
      <c r="N12" s="182">
        <f>(N3*N11)</f>
        <v>96078.431372549021</v>
      </c>
    </row>
    <row r="14" spans="1:14" x14ac:dyDescent="0.25">
      <c r="C14" s="183">
        <f>(C10+0.01%)</f>
        <v>5.0100000000000006E-2</v>
      </c>
      <c r="D14" s="180">
        <f>(D10)</f>
        <v>0.09</v>
      </c>
      <c r="H14" s="183">
        <f>(H10+0.01%)</f>
        <v>2.01E-2</v>
      </c>
      <c r="I14" s="180">
        <f>(I10)</f>
        <v>0.04</v>
      </c>
      <c r="M14" s="183">
        <f>(M10+0.01%)</f>
        <v>2.01E-2</v>
      </c>
      <c r="N14" s="180">
        <f>(N10)</f>
        <v>0.04</v>
      </c>
    </row>
    <row r="15" spans="1:14" x14ac:dyDescent="0.25">
      <c r="A15" s="75" t="s">
        <v>188</v>
      </c>
      <c r="C15" s="181">
        <f>(1/(1+C14))</f>
        <v>0.95229025807065992</v>
      </c>
      <c r="D15" s="181">
        <f>(1-D14*SUM(C$15:$C15))/(1+D14)</f>
        <v>0.83880172181067936</v>
      </c>
      <c r="F15" s="75" t="s">
        <v>188</v>
      </c>
      <c r="H15" s="181">
        <f>(1/(1+H14))</f>
        <v>0.98029604940692083</v>
      </c>
      <c r="I15" s="181">
        <f>(1-I14*SUM($H$15:H15))/(1+I14)</f>
        <v>0.92383476733050307</v>
      </c>
      <c r="K15" s="75" t="s">
        <v>188</v>
      </c>
      <c r="M15" s="181">
        <f>(1/(1+M14))</f>
        <v>0.98029604940692083</v>
      </c>
      <c r="N15" s="181">
        <f>(1-N14*SUM($M$15:M15))/(1+N14)</f>
        <v>0.92383476733050307</v>
      </c>
    </row>
    <row r="16" spans="1:14" x14ac:dyDescent="0.25">
      <c r="B16" s="182"/>
      <c r="C16" s="182"/>
      <c r="D16" s="182"/>
      <c r="G16" s="182"/>
      <c r="H16" s="182"/>
      <c r="I16" s="182"/>
      <c r="L16" s="182"/>
      <c r="M16" s="182"/>
      <c r="N16" s="182"/>
    </row>
    <row r="17" spans="1:18" x14ac:dyDescent="0.25">
      <c r="A17" s="75"/>
      <c r="B17" s="182">
        <f>(C3*C15+D3*D15)</f>
        <v>99999.999999999985</v>
      </c>
      <c r="C17" s="182">
        <f>(C3*C15)</f>
        <v>8570.6123226359396</v>
      </c>
      <c r="D17" s="182">
        <f>(D3*D15)</f>
        <v>91429.387677364051</v>
      </c>
      <c r="F17" s="75"/>
      <c r="G17" s="182">
        <f>(H3*H15+I3*I15)</f>
        <v>109520.65408368711</v>
      </c>
      <c r="H17" s="182">
        <f>(H3*H15)</f>
        <v>8822.6644446622868</v>
      </c>
      <c r="I17" s="182">
        <f>(I3*I15)</f>
        <v>100697.98963902483</v>
      </c>
      <c r="K17" s="75"/>
      <c r="L17" s="182">
        <f>(M3*M15+N3*N15)</f>
        <v>100000</v>
      </c>
      <c r="M17" s="182">
        <f>(M3*M15)</f>
        <v>3921.1841976276833</v>
      </c>
      <c r="N17" s="182">
        <f>(N3*N15)</f>
        <v>96078.815802372323</v>
      </c>
    </row>
    <row r="18" spans="1:18" x14ac:dyDescent="0.25">
      <c r="B18" s="184">
        <f>SUM(C18:D18)</f>
        <v>0</v>
      </c>
      <c r="C18" s="182">
        <f>(C17-C12)</f>
        <v>-0.81624879263108596</v>
      </c>
      <c r="D18" s="182">
        <f>(D17-D12)</f>
        <v>0.81624879263108596</v>
      </c>
      <c r="G18" s="184">
        <f>SUM(H18:I18)</f>
        <v>-0.46205507609010965</v>
      </c>
      <c r="H18" s="182">
        <f>(H17-H12)</f>
        <v>-0.86496710241954133</v>
      </c>
      <c r="I18" s="182">
        <f>(I17-I12)</f>
        <v>0.40291202632943168</v>
      </c>
      <c r="L18" s="184">
        <f>SUM(M18:N18)</f>
        <v>4.5474735088646412E-12</v>
      </c>
      <c r="M18" s="182">
        <f>(M17-M12)</f>
        <v>-0.38442982329706865</v>
      </c>
      <c r="N18" s="182">
        <f>(N17-N12)</f>
        <v>0.38442982330161612</v>
      </c>
    </row>
    <row r="20" spans="1:18" x14ac:dyDescent="0.25">
      <c r="C20" s="180">
        <f>(C10)</f>
        <v>0.05</v>
      </c>
      <c r="D20" s="183">
        <f>(D10+0.01%)</f>
        <v>9.01E-2</v>
      </c>
      <c r="H20" s="180">
        <f>(H10)</f>
        <v>0.02</v>
      </c>
      <c r="I20" s="183">
        <f>(I10+0.01%)</f>
        <v>4.0100000000000004E-2</v>
      </c>
      <c r="M20" s="180">
        <f>M10</f>
        <v>0.02</v>
      </c>
      <c r="N20" s="183">
        <f>N10+0.01%</f>
        <v>4.0100000000000004E-2</v>
      </c>
    </row>
    <row r="21" spans="1:18" x14ac:dyDescent="0.25">
      <c r="A21" s="75" t="s">
        <v>190</v>
      </c>
      <c r="C21" s="181">
        <f>(1/(1+C20))</f>
        <v>0.95238095238095233</v>
      </c>
      <c r="D21" s="181">
        <f>(1-D20*SUM(C$21:$C21))/(1+D20)</f>
        <v>0.83862992036554096</v>
      </c>
      <c r="F21" s="75" t="s">
        <v>190</v>
      </c>
      <c r="H21" s="181">
        <f>(1/(1+H20))</f>
        <v>0.98039215686274506</v>
      </c>
      <c r="I21" s="181">
        <f>(1-I20*SUM($H$21:H21))/(1+I20)</f>
        <v>0.92364799010653198</v>
      </c>
      <c r="K21" s="75" t="s">
        <v>190</v>
      </c>
      <c r="M21" s="181">
        <f>(1/(1+M20))</f>
        <v>0.98039215686274506</v>
      </c>
      <c r="N21" s="181">
        <f>(1-N20*SUM($M$21:M21))/(1+N20)</f>
        <v>0.92364799010653198</v>
      </c>
    </row>
    <row r="23" spans="1:18" x14ac:dyDescent="0.25">
      <c r="B23" s="185">
        <f>(C23+D23)</f>
        <v>99982.089891272524</v>
      </c>
      <c r="C23" s="185">
        <f>(C3*C21)</f>
        <v>8571.4285714285706</v>
      </c>
      <c r="D23" s="185">
        <f>(D3*D21)</f>
        <v>91410.661319843959</v>
      </c>
      <c r="E23" s="185"/>
      <c r="G23" s="185">
        <f>(H23+I23)</f>
        <v>109501.1603333767</v>
      </c>
      <c r="H23" s="185">
        <f>(H3*H21)</f>
        <v>8823.5294117647063</v>
      </c>
      <c r="I23" s="185">
        <f>(I3*I21)</f>
        <v>100677.63092161198</v>
      </c>
      <c r="L23" s="185">
        <f>(M23+N23)</f>
        <v>99980.959598530302</v>
      </c>
      <c r="M23" s="185">
        <f>(M3*M21)</f>
        <v>3921.5686274509803</v>
      </c>
      <c r="N23" s="185">
        <f>(N3*N21)</f>
        <v>96059.390971079323</v>
      </c>
      <c r="R23" s="180"/>
    </row>
    <row r="24" spans="1:18" x14ac:dyDescent="0.25">
      <c r="B24" s="186">
        <f>(B23-B12)</f>
        <v>-17.910108727461193</v>
      </c>
      <c r="C24" s="20">
        <f>(C23-C12)</f>
        <v>0</v>
      </c>
      <c r="D24" s="20">
        <f>(D23-D12)</f>
        <v>-17.910108727461193</v>
      </c>
      <c r="G24" s="186">
        <f>(G23-G12)</f>
        <v>-19.955805386503926</v>
      </c>
      <c r="H24" s="20">
        <f>(H23-H12)</f>
        <v>0</v>
      </c>
      <c r="I24" s="20">
        <f>(I23-I12)</f>
        <v>-19.955805386518477</v>
      </c>
      <c r="L24" s="186">
        <f>(L23-L12)</f>
        <v>-19.040401469697827</v>
      </c>
      <c r="M24" s="20">
        <f>(M23-M12)</f>
        <v>0</v>
      </c>
      <c r="N24" s="20">
        <f>(N23-N12)</f>
        <v>-19.040401469697827</v>
      </c>
    </row>
    <row r="25" spans="1:18" x14ac:dyDescent="0.25">
      <c r="B25" s="173">
        <f>(B24/B12)</f>
        <v>-1.7910108727461194E-4</v>
      </c>
      <c r="G25" s="173">
        <f>(G24/G12)</f>
        <v>-1.8220966047515375E-4</v>
      </c>
      <c r="L25" s="173">
        <f>(L24/L12)</f>
        <v>-1.9040401469697826E-4</v>
      </c>
    </row>
    <row r="27" spans="1:18" x14ac:dyDescent="0.25">
      <c r="C27" s="180">
        <f>(C14)</f>
        <v>5.0100000000000006E-2</v>
      </c>
      <c r="D27" s="183">
        <f>(D20)</f>
        <v>9.01E-2</v>
      </c>
      <c r="H27" s="180">
        <f>(H14)</f>
        <v>2.01E-2</v>
      </c>
      <c r="I27" s="183">
        <f>(I20)</f>
        <v>4.0100000000000004E-2</v>
      </c>
      <c r="M27" s="180">
        <f>(M14)</f>
        <v>2.01E-2</v>
      </c>
      <c r="N27" s="183">
        <f>(N20)</f>
        <v>4.0100000000000004E-2</v>
      </c>
    </row>
    <row r="28" spans="1:18" x14ac:dyDescent="0.25">
      <c r="A28" s="75" t="s">
        <v>189</v>
      </c>
      <c r="C28" s="181">
        <f>(1/(1+C27))</f>
        <v>0.95229025807065992</v>
      </c>
      <c r="D28" s="181">
        <f>(1-D27*SUM(C$28:$C28))/(1+D27)</f>
        <v>0.83863741651943258</v>
      </c>
      <c r="F28" s="75" t="s">
        <v>189</v>
      </c>
      <c r="H28" s="181">
        <f>(1/(1+H27))</f>
        <v>0.98029604940692083</v>
      </c>
      <c r="I28" s="181">
        <f>(1-I27*SUM($H$28:H28))/(1+I27)</f>
        <v>0.9236516954319608</v>
      </c>
      <c r="K28" s="75" t="s">
        <v>189</v>
      </c>
      <c r="M28" s="181">
        <f>(1/(1+M27))</f>
        <v>0.98029604940692083</v>
      </c>
      <c r="N28" s="181">
        <f>(1-N27*SUM($M$28:M28))/(1+N27)</f>
        <v>0.9236516954319608</v>
      </c>
    </row>
    <row r="30" spans="1:18" x14ac:dyDescent="0.25">
      <c r="B30" s="185">
        <f>(C30+D30)</f>
        <v>99982.090723254092</v>
      </c>
      <c r="C30" s="185">
        <f>(C3*C28)</f>
        <v>8570.6123226359396</v>
      </c>
      <c r="D30" s="185">
        <f>(D3*D28)</f>
        <v>91411.478400618158</v>
      </c>
      <c r="G30" s="185">
        <f>(H30+I30)</f>
        <v>109500.69924674601</v>
      </c>
      <c r="H30" s="185">
        <f>(H3*H28)</f>
        <v>8822.6644446622868</v>
      </c>
      <c r="I30" s="185">
        <f>(I3*I28)</f>
        <v>100678.03480208373</v>
      </c>
      <c r="L30" s="185">
        <f>(M30+N30)</f>
        <v>99980.960522551599</v>
      </c>
      <c r="M30" s="185">
        <f>(M3*M28)</f>
        <v>3921.1841976276833</v>
      </c>
      <c r="N30" s="185">
        <f>(N3*N28)</f>
        <v>96059.776324923921</v>
      </c>
    </row>
    <row r="31" spans="1:18" x14ac:dyDescent="0.25">
      <c r="B31" s="186">
        <f>(B30-B12)</f>
        <v>-17.909276745893294</v>
      </c>
      <c r="C31" s="20">
        <f>(C30-C12)</f>
        <v>-0.81624879263108596</v>
      </c>
      <c r="D31" s="20">
        <f>(D30-D12)</f>
        <v>-17.093027953262208</v>
      </c>
      <c r="G31" s="186">
        <f>(G30-G12)</f>
        <v>-20.416892017194186</v>
      </c>
      <c r="H31" s="20">
        <f>(H30-H12)</f>
        <v>-0.86496710241954133</v>
      </c>
      <c r="I31" s="20">
        <f>(I30-I12)</f>
        <v>-19.551924914776464</v>
      </c>
      <c r="L31" s="186">
        <f>(L30-L12)</f>
        <v>-19.039477448401158</v>
      </c>
      <c r="M31" s="20">
        <f>(M30-M12)</f>
        <v>-0.38442982329706865</v>
      </c>
      <c r="N31" s="20">
        <f>(N30-N12)</f>
        <v>-18.655047625099542</v>
      </c>
    </row>
    <row r="32" spans="1:18" x14ac:dyDescent="0.25">
      <c r="D32" s="185"/>
      <c r="G32" s="173"/>
      <c r="L32" s="173"/>
    </row>
    <row r="34" spans="1:12" x14ac:dyDescent="0.25">
      <c r="D34" s="187"/>
    </row>
    <row r="35" spans="1:12" x14ac:dyDescent="0.25">
      <c r="B35" s="188"/>
      <c r="C35" s="188"/>
      <c r="D35" s="188"/>
    </row>
    <row r="38" spans="1:12" x14ac:dyDescent="0.25">
      <c r="A38" s="189" t="s">
        <v>247</v>
      </c>
    </row>
    <row r="39" spans="1:12" x14ac:dyDescent="0.25">
      <c r="A39" s="17" t="s">
        <v>256</v>
      </c>
    </row>
    <row r="40" spans="1:12" x14ac:dyDescent="0.25">
      <c r="A40" s="17" t="s">
        <v>258</v>
      </c>
    </row>
    <row r="41" spans="1:12" x14ac:dyDescent="0.25">
      <c r="A41" s="17" t="s">
        <v>257</v>
      </c>
    </row>
    <row r="42" spans="1:12" ht="14.4" thickBot="1" x14ac:dyDescent="0.3"/>
    <row r="43" spans="1:12" x14ac:dyDescent="0.25">
      <c r="A43" s="39" t="s">
        <v>252</v>
      </c>
      <c r="B43" s="198">
        <v>0</v>
      </c>
      <c r="C43" s="198">
        <v>1</v>
      </c>
      <c r="D43" s="199">
        <v>2</v>
      </c>
    </row>
    <row r="44" spans="1:12" x14ac:dyDescent="0.25">
      <c r="A44" s="47" t="s">
        <v>249</v>
      </c>
      <c r="B44" s="43">
        <f>(B3)</f>
        <v>-100000</v>
      </c>
      <c r="C44" s="43">
        <f>(C3)</f>
        <v>9000</v>
      </c>
      <c r="D44" s="45">
        <f>(D3)</f>
        <v>109000</v>
      </c>
    </row>
    <row r="45" spans="1:12" x14ac:dyDescent="0.25">
      <c r="A45" s="47" t="s">
        <v>21</v>
      </c>
      <c r="B45" s="43">
        <f>(B12)</f>
        <v>99999.999999999985</v>
      </c>
      <c r="C45" s="43"/>
      <c r="D45" s="45"/>
      <c r="I45" s="200"/>
      <c r="J45" s="182"/>
      <c r="K45" s="182"/>
      <c r="L45" s="182"/>
    </row>
    <row r="46" spans="1:12" x14ac:dyDescent="0.25">
      <c r="A46" s="47"/>
      <c r="B46" s="43"/>
      <c r="C46" s="43"/>
      <c r="D46" s="45"/>
      <c r="I46" s="182"/>
      <c r="J46" s="182"/>
      <c r="K46" s="182"/>
      <c r="L46" s="182"/>
    </row>
    <row r="47" spans="1:12" x14ac:dyDescent="0.25">
      <c r="A47" s="192" t="s">
        <v>254</v>
      </c>
      <c r="B47" s="43"/>
      <c r="C47" s="43"/>
      <c r="D47" s="45"/>
      <c r="I47" s="182"/>
      <c r="J47" s="182"/>
      <c r="K47" s="182"/>
      <c r="L47" s="182"/>
    </row>
    <row r="48" spans="1:12" x14ac:dyDescent="0.25">
      <c r="A48" s="47" t="s">
        <v>253</v>
      </c>
      <c r="B48" s="190">
        <f>B30</f>
        <v>99982.090723254092</v>
      </c>
      <c r="C48" s="190">
        <f t="shared" ref="C48:D48" si="1">C30</f>
        <v>8570.6123226359396</v>
      </c>
      <c r="D48" s="191">
        <f t="shared" si="1"/>
        <v>91411.478400618158</v>
      </c>
    </row>
    <row r="49" spans="1:6" ht="14.4" thickBot="1" x14ac:dyDescent="0.3">
      <c r="A49" s="204" t="s">
        <v>259</v>
      </c>
      <c r="B49" s="205">
        <f>-B31</f>
        <v>17.909276745893294</v>
      </c>
      <c r="C49" s="70"/>
      <c r="D49" s="71"/>
      <c r="F49" s="202"/>
    </row>
    <row r="50" spans="1:6" ht="14.4" thickBot="1" x14ac:dyDescent="0.3"/>
    <row r="51" spans="1:6" x14ac:dyDescent="0.25">
      <c r="A51" s="39" t="s">
        <v>255</v>
      </c>
      <c r="B51" s="194">
        <v>-91365.672154798784</v>
      </c>
      <c r="C51" s="194">
        <f>(B51*I10)</f>
        <v>-3654.6268861919516</v>
      </c>
      <c r="D51" s="195">
        <f>(B51*(1+I10))</f>
        <v>-95020.299040990736</v>
      </c>
    </row>
    <row r="52" spans="1:6" x14ac:dyDescent="0.25">
      <c r="A52" s="47"/>
      <c r="B52" s="193">
        <f>-(C44+C51)/(1+H10)</f>
        <v>-5240.5618762824006</v>
      </c>
      <c r="C52" s="193">
        <f>B52*(1+H10)</f>
        <v>-5345.3731138080484</v>
      </c>
      <c r="D52" s="196"/>
    </row>
    <row r="53" spans="1:6" x14ac:dyDescent="0.25">
      <c r="A53" s="47"/>
      <c r="B53" s="193"/>
      <c r="C53" s="193"/>
      <c r="D53" s="196"/>
    </row>
    <row r="54" spans="1:6" x14ac:dyDescent="0.25">
      <c r="A54" s="47" t="s">
        <v>21</v>
      </c>
      <c r="B54" s="193">
        <f>(SUM(C51:C52)*H11+D51*I11)</f>
        <v>-96606.2340310812</v>
      </c>
      <c r="D54" s="196"/>
    </row>
    <row r="55" spans="1:6" x14ac:dyDescent="0.25">
      <c r="A55" s="47"/>
      <c r="B55" s="193"/>
      <c r="C55" s="193"/>
      <c r="D55" s="196"/>
    </row>
    <row r="56" spans="1:6" x14ac:dyDescent="0.25">
      <c r="A56" s="47" t="s">
        <v>250</v>
      </c>
      <c r="B56" s="193">
        <f>SUM(C56:D56)</f>
        <v>-91348.276608253305</v>
      </c>
      <c r="C56" s="193">
        <f>(C51*H28)</f>
        <v>-3582.6162985902865</v>
      </c>
      <c r="D56" s="196">
        <f>(D51*I28)</f>
        <v>-87765.660309663013</v>
      </c>
    </row>
    <row r="57" spans="1:6" x14ac:dyDescent="0.25">
      <c r="A57" s="47"/>
      <c r="B57" s="193">
        <f>C57</f>
        <v>-5240.0481460720011</v>
      </c>
      <c r="C57" s="193">
        <f>C52*H28</f>
        <v>-5240.0481460720011</v>
      </c>
      <c r="D57" s="196"/>
    </row>
    <row r="58" spans="1:6" x14ac:dyDescent="0.25">
      <c r="A58" s="47"/>
      <c r="B58" s="197">
        <f>SUM(B56:B57)</f>
        <v>-96588.324754325309</v>
      </c>
      <c r="C58" s="43"/>
      <c r="D58" s="45"/>
    </row>
    <row r="59" spans="1:6" x14ac:dyDescent="0.25">
      <c r="A59" s="47"/>
      <c r="B59" s="197"/>
      <c r="C59" s="43"/>
      <c r="D59" s="45"/>
    </row>
    <row r="60" spans="1:6" ht="14.4" thickBot="1" x14ac:dyDescent="0.3">
      <c r="A60" s="69" t="s">
        <v>251</v>
      </c>
      <c r="B60" s="203">
        <f>(B58-B54)</f>
        <v>17.90927675589046</v>
      </c>
      <c r="C60" s="70"/>
      <c r="D60" s="71"/>
    </row>
    <row r="62" spans="1:6" x14ac:dyDescent="0.25">
      <c r="A62" s="182"/>
      <c r="B62" s="182"/>
      <c r="C62" s="182"/>
      <c r="D62" s="182"/>
    </row>
    <row r="63" spans="1:6" x14ac:dyDescent="0.25">
      <c r="A63" s="182"/>
      <c r="B63" s="182"/>
      <c r="C63" s="182"/>
      <c r="D63" s="182"/>
    </row>
    <row r="64" spans="1:6" x14ac:dyDescent="0.25">
      <c r="A64" s="182"/>
      <c r="B64" s="182"/>
      <c r="C64" s="182"/>
      <c r="D64" s="18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>
      <selection activeCell="H36" sqref="H36"/>
    </sheetView>
  </sheetViews>
  <sheetFormatPr baseColWidth="10" defaultColWidth="11.5546875" defaultRowHeight="15.6" x14ac:dyDescent="0.3"/>
  <cols>
    <col min="1" max="1" width="18.33203125" style="210" customWidth="1"/>
    <col min="2" max="2" width="22.5546875" style="210" bestFit="1" customWidth="1"/>
    <col min="3" max="3" width="19.109375" style="210" bestFit="1" customWidth="1"/>
    <col min="4" max="16384" width="11.5546875" style="210"/>
  </cols>
  <sheetData>
    <row r="1" spans="1:15" x14ac:dyDescent="0.3">
      <c r="A1" s="209" t="s">
        <v>272</v>
      </c>
    </row>
    <row r="2" spans="1:15" s="253" customFormat="1" ht="16.2" thickBot="1" x14ac:dyDescent="0.35">
      <c r="A2" s="252" t="s">
        <v>270</v>
      </c>
    </row>
    <row r="3" spans="1:15" ht="16.2" thickBot="1" x14ac:dyDescent="0.35">
      <c r="K3" s="211"/>
      <c r="L3" s="212" t="s">
        <v>6</v>
      </c>
      <c r="M3" s="212">
        <v>1</v>
      </c>
      <c r="N3" s="212">
        <v>2</v>
      </c>
      <c r="O3" s="213"/>
    </row>
    <row r="4" spans="1:15" x14ac:dyDescent="0.3">
      <c r="A4" s="211" t="s">
        <v>0</v>
      </c>
      <c r="B4" s="212" t="s">
        <v>13</v>
      </c>
      <c r="C4" s="212" t="s">
        <v>2</v>
      </c>
      <c r="D4" s="212" t="s">
        <v>3</v>
      </c>
      <c r="E4" s="212" t="s">
        <v>4</v>
      </c>
      <c r="F4" s="212"/>
      <c r="G4" s="212"/>
      <c r="H4" s="213"/>
      <c r="K4" s="382" t="s">
        <v>2</v>
      </c>
      <c r="L4" s="214" t="s">
        <v>7</v>
      </c>
      <c r="M4" s="214">
        <v>0.02</v>
      </c>
      <c r="N4" s="214">
        <v>0.04</v>
      </c>
      <c r="O4" s="215"/>
    </row>
    <row r="5" spans="1:15" x14ac:dyDescent="0.3">
      <c r="A5" s="216"/>
      <c r="B5" s="214"/>
      <c r="C5" s="214"/>
      <c r="D5" s="214"/>
      <c r="E5" s="214"/>
      <c r="F5" s="214"/>
      <c r="G5" s="214"/>
      <c r="H5" s="215"/>
      <c r="K5" s="382"/>
      <c r="L5" s="214" t="s">
        <v>8</v>
      </c>
      <c r="M5" s="214">
        <v>0.03</v>
      </c>
      <c r="N5" s="214">
        <v>0.05</v>
      </c>
      <c r="O5" s="215"/>
    </row>
    <row r="6" spans="1:15" x14ac:dyDescent="0.3">
      <c r="A6" s="216" t="s">
        <v>260</v>
      </c>
      <c r="B6" s="214" t="s">
        <v>14</v>
      </c>
      <c r="C6" s="214">
        <v>-100000</v>
      </c>
      <c r="D6" s="214">
        <v>9000</v>
      </c>
      <c r="E6" s="214">
        <v>9000</v>
      </c>
      <c r="F6" s="214"/>
      <c r="G6" s="214"/>
      <c r="H6" s="215"/>
      <c r="K6" s="382"/>
      <c r="L6" s="214" t="s">
        <v>9</v>
      </c>
      <c r="M6" s="214">
        <v>2.5000000000000001E-3</v>
      </c>
      <c r="N6" s="214">
        <v>5.0000000000000001E-3</v>
      </c>
      <c r="O6" s="215"/>
    </row>
    <row r="7" spans="1:15" ht="16.2" thickBot="1" x14ac:dyDescent="0.35">
      <c r="A7" s="217"/>
      <c r="B7" s="218"/>
      <c r="C7" s="218"/>
      <c r="D7" s="218"/>
      <c r="E7" s="218">
        <v>100000</v>
      </c>
      <c r="F7" s="218"/>
      <c r="G7" s="218"/>
      <c r="H7" s="219"/>
      <c r="J7" s="220"/>
      <c r="K7" s="382"/>
      <c r="L7" s="214"/>
      <c r="M7" s="214"/>
      <c r="N7" s="214"/>
      <c r="O7" s="215"/>
    </row>
    <row r="8" spans="1:15" ht="16.2" thickBot="1" x14ac:dyDescent="0.35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16"/>
      <c r="L8" s="214"/>
      <c r="M8" s="214"/>
      <c r="N8" s="214"/>
      <c r="O8" s="215"/>
    </row>
    <row r="9" spans="1:15" x14ac:dyDescent="0.3">
      <c r="A9" s="221" t="s">
        <v>273</v>
      </c>
      <c r="B9" s="222"/>
      <c r="C9" s="222"/>
      <c r="D9" s="222"/>
      <c r="E9" s="222"/>
      <c r="F9" s="222"/>
      <c r="G9" s="222"/>
      <c r="H9" s="223"/>
      <c r="I9" s="224"/>
      <c r="J9" s="220"/>
      <c r="K9" s="216"/>
      <c r="L9" s="214"/>
      <c r="M9" s="214">
        <v>1</v>
      </c>
      <c r="N9" s="214">
        <v>2</v>
      </c>
      <c r="O9" s="215"/>
    </row>
    <row r="10" spans="1:15" x14ac:dyDescent="0.3">
      <c r="A10" s="225"/>
      <c r="B10" s="224"/>
      <c r="C10" s="224"/>
      <c r="D10" s="224"/>
      <c r="E10" s="224"/>
      <c r="F10" s="224"/>
      <c r="G10" s="224"/>
      <c r="H10" s="226"/>
      <c r="I10" s="224"/>
      <c r="J10" s="220"/>
      <c r="K10" s="216" t="s">
        <v>10</v>
      </c>
      <c r="L10" s="214" t="s">
        <v>7</v>
      </c>
      <c r="M10" s="214">
        <f>M4+P10</f>
        <v>0.02</v>
      </c>
      <c r="N10" s="214">
        <f>N4+Q10</f>
        <v>0.04</v>
      </c>
      <c r="O10" s="215"/>
    </row>
    <row r="11" spans="1:15" x14ac:dyDescent="0.3">
      <c r="A11" s="225"/>
      <c r="B11" s="224" t="s">
        <v>261</v>
      </c>
      <c r="C11" s="224">
        <f>D6*M19+SUM(E6:E7)*N19</f>
        <v>99999.999999999985</v>
      </c>
      <c r="D11" s="224">
        <f>SUM(E6:E7)*M19</f>
        <v>103809.5238095238</v>
      </c>
      <c r="E11" s="224">
        <f>E7</f>
        <v>100000</v>
      </c>
      <c r="F11" s="224"/>
      <c r="G11" s="214"/>
      <c r="H11" s="215"/>
      <c r="J11" s="220"/>
      <c r="K11" s="216"/>
      <c r="L11" s="214"/>
      <c r="M11" s="214">
        <v>1</v>
      </c>
      <c r="N11" s="214">
        <v>2</v>
      </c>
      <c r="O11" s="215"/>
    </row>
    <row r="12" spans="1:15" x14ac:dyDescent="0.3">
      <c r="A12" s="225"/>
      <c r="B12" s="224" t="s">
        <v>53</v>
      </c>
      <c r="C12" s="224"/>
      <c r="D12" s="214"/>
      <c r="E12" s="214"/>
      <c r="F12" s="214"/>
      <c r="G12" s="214"/>
      <c r="H12" s="215"/>
      <c r="J12" s="220"/>
      <c r="K12" s="216"/>
      <c r="L12" s="214" t="s">
        <v>11</v>
      </c>
      <c r="M12" s="214">
        <f>M4+M5+P12</f>
        <v>0.05</v>
      </c>
      <c r="N12" s="214">
        <f>N4+N5+Q12</f>
        <v>0.09</v>
      </c>
      <c r="O12" s="215"/>
    </row>
    <row r="13" spans="1:15" x14ac:dyDescent="0.3">
      <c r="A13" s="225"/>
      <c r="B13" s="224"/>
      <c r="C13" s="224"/>
      <c r="D13" s="224" t="s">
        <v>60</v>
      </c>
      <c r="E13" s="224" t="s">
        <v>61</v>
      </c>
      <c r="F13" s="224"/>
      <c r="G13" s="214" t="s">
        <v>262</v>
      </c>
      <c r="H13" s="215"/>
      <c r="J13" s="220"/>
      <c r="K13" s="216"/>
      <c r="L13" s="214"/>
      <c r="M13" s="214">
        <v>1</v>
      </c>
      <c r="N13" s="214">
        <v>2</v>
      </c>
      <c r="O13" s="215"/>
    </row>
    <row r="14" spans="1:15" x14ac:dyDescent="0.3">
      <c r="A14" s="225"/>
      <c r="B14" s="383" t="s">
        <v>263</v>
      </c>
      <c r="C14" s="224" t="s">
        <v>264</v>
      </c>
      <c r="D14" s="227">
        <f>C11+C6</f>
        <v>0</v>
      </c>
      <c r="E14" s="227">
        <v>0</v>
      </c>
      <c r="F14" s="227"/>
      <c r="G14" s="228">
        <f>SUM(D14:E14)</f>
        <v>0</v>
      </c>
      <c r="H14" s="215"/>
      <c r="J14" s="220"/>
      <c r="K14" s="216"/>
      <c r="L14" s="214" t="s">
        <v>12</v>
      </c>
      <c r="M14" s="214">
        <f>M4+M6+P14</f>
        <v>2.2499999999999999E-2</v>
      </c>
      <c r="N14" s="214">
        <f>N4+N6+Q14</f>
        <v>4.4999999999999998E-2</v>
      </c>
      <c r="O14" s="215"/>
    </row>
    <row r="15" spans="1:15" x14ac:dyDescent="0.3">
      <c r="A15" s="225"/>
      <c r="B15" s="383"/>
      <c r="C15" s="214" t="s">
        <v>265</v>
      </c>
      <c r="D15" s="227">
        <f>D11-C11</f>
        <v>3809.5238095238165</v>
      </c>
      <c r="E15" s="227">
        <f>E11-D11</f>
        <v>-3809.5238095238019</v>
      </c>
      <c r="F15" s="229"/>
      <c r="G15" s="228">
        <f t="shared" ref="G15:G16" si="0">SUM(D15:E15)</f>
        <v>1.4551915228366852E-11</v>
      </c>
      <c r="H15" s="215"/>
      <c r="J15" s="220"/>
      <c r="K15" s="216"/>
      <c r="L15" s="214"/>
      <c r="M15" s="214"/>
      <c r="N15" s="214"/>
      <c r="O15" s="215"/>
    </row>
    <row r="16" spans="1:15" x14ac:dyDescent="0.3">
      <c r="A16" s="225"/>
      <c r="B16" s="230" t="s">
        <v>54</v>
      </c>
      <c r="C16" s="230"/>
      <c r="D16" s="231">
        <f>D6</f>
        <v>9000</v>
      </c>
      <c r="E16" s="231">
        <f>E6</f>
        <v>9000</v>
      </c>
      <c r="F16" s="224"/>
      <c r="G16" s="232">
        <f t="shared" si="0"/>
        <v>18000</v>
      </c>
      <c r="H16" s="215"/>
      <c r="J16" s="220"/>
      <c r="K16" s="216"/>
      <c r="L16" s="214"/>
      <c r="M16" s="214">
        <v>1</v>
      </c>
      <c r="N16" s="214">
        <v>2</v>
      </c>
      <c r="O16" s="215"/>
    </row>
    <row r="17" spans="1:18" x14ac:dyDescent="0.3">
      <c r="A17" s="216"/>
      <c r="B17" s="224" t="s">
        <v>27</v>
      </c>
      <c r="C17" s="233"/>
      <c r="D17" s="227">
        <f>SUM(D14:D16)</f>
        <v>12809.523809523816</v>
      </c>
      <c r="E17" s="227">
        <f>SUM(E14:E16)</f>
        <v>5190.4761904761981</v>
      </c>
      <c r="F17" s="214"/>
      <c r="G17" s="228">
        <f>SUM(D17:E17)</f>
        <v>18000.000000000015</v>
      </c>
      <c r="H17" s="234"/>
      <c r="I17" s="224"/>
      <c r="J17" s="220"/>
      <c r="K17" s="216" t="s">
        <v>10</v>
      </c>
      <c r="L17" s="214" t="s">
        <v>7</v>
      </c>
      <c r="M17" s="214">
        <f>1/(1+M10)</f>
        <v>0.98039215686274506</v>
      </c>
      <c r="N17" s="214">
        <f>(1-N10*SUM($M17:M$17))/(1+N10)</f>
        <v>0.92383107088989447</v>
      </c>
      <c r="O17" s="215"/>
    </row>
    <row r="18" spans="1:18" ht="16.2" thickBot="1" x14ac:dyDescent="0.35">
      <c r="A18" s="235"/>
      <c r="B18" s="236"/>
      <c r="C18" s="236"/>
      <c r="D18" s="236"/>
      <c r="E18" s="236"/>
      <c r="F18" s="236"/>
      <c r="G18" s="236"/>
      <c r="H18" s="237"/>
      <c r="I18" s="224"/>
      <c r="J18" s="220"/>
      <c r="K18" s="216"/>
      <c r="L18" s="214"/>
      <c r="M18" s="214">
        <v>1</v>
      </c>
      <c r="N18" s="214">
        <v>2</v>
      </c>
      <c r="O18" s="215"/>
    </row>
    <row r="19" spans="1:18" x14ac:dyDescent="0.3">
      <c r="H19" s="224"/>
      <c r="I19" s="224"/>
      <c r="J19" s="220"/>
      <c r="K19" s="216"/>
      <c r="L19" s="214" t="s">
        <v>11</v>
      </c>
      <c r="M19" s="214">
        <f t="shared" ref="M19:M21" si="1">1/(1+M12)</f>
        <v>0.95238095238095233</v>
      </c>
      <c r="N19" s="214">
        <f>(1-N12*SUM($M19:M$19))/(1+N12)</f>
        <v>0.83879423328964609</v>
      </c>
      <c r="O19" s="215"/>
    </row>
    <row r="20" spans="1:18" ht="16.2" thickBot="1" x14ac:dyDescent="0.35">
      <c r="A20" s="224"/>
      <c r="B20" s="224"/>
      <c r="C20" s="233"/>
      <c r="D20" s="233"/>
      <c r="E20" s="224"/>
      <c r="F20" s="224"/>
      <c r="G20" s="238"/>
      <c r="H20" s="224"/>
      <c r="I20" s="224"/>
      <c r="J20" s="220"/>
      <c r="K20" s="216"/>
      <c r="L20" s="214"/>
      <c r="M20" s="214">
        <v>1</v>
      </c>
      <c r="N20" s="214">
        <v>2</v>
      </c>
      <c r="O20" s="215"/>
    </row>
    <row r="21" spans="1:18" ht="16.2" thickBot="1" x14ac:dyDescent="0.35">
      <c r="A21" s="221" t="s">
        <v>274</v>
      </c>
      <c r="B21" s="239"/>
      <c r="C21" s="240"/>
      <c r="D21" s="240"/>
      <c r="E21" s="222"/>
      <c r="F21" s="222"/>
      <c r="G21" s="241"/>
      <c r="H21" s="223"/>
      <c r="I21" s="224"/>
      <c r="J21" s="220"/>
      <c r="K21" s="235"/>
      <c r="L21" s="236" t="s">
        <v>12</v>
      </c>
      <c r="M21" s="236">
        <f t="shared" si="1"/>
        <v>0.97799511002444994</v>
      </c>
      <c r="N21" s="236">
        <f>(1-N14*SUM($M21:M$21))/(1+N14)</f>
        <v>0.91482317708028693</v>
      </c>
      <c r="O21" s="242"/>
    </row>
    <row r="22" spans="1:18" x14ac:dyDescent="0.3">
      <c r="A22" s="225"/>
      <c r="B22" s="243"/>
      <c r="C22" s="244"/>
      <c r="D22" s="244"/>
      <c r="E22" s="224"/>
      <c r="F22" s="224"/>
      <c r="G22" s="224"/>
      <c r="H22" s="226"/>
      <c r="I22" s="224"/>
      <c r="J22" s="220"/>
    </row>
    <row r="23" spans="1:18" ht="16.2" thickBot="1" x14ac:dyDescent="0.35">
      <c r="A23" s="225"/>
      <c r="B23" s="224" t="s">
        <v>261</v>
      </c>
      <c r="C23" s="224">
        <f>D6*M40+SUM(E6:E7)*N40</f>
        <v>91626.794258373193</v>
      </c>
      <c r="D23" s="224">
        <f>SUM(E6:E7)*M40</f>
        <v>99090.909090909088</v>
      </c>
      <c r="E23" s="224">
        <f>E7</f>
        <v>100000</v>
      </c>
      <c r="F23" s="224"/>
      <c r="G23" s="224"/>
      <c r="H23" s="226"/>
      <c r="I23" s="224"/>
      <c r="J23" s="220"/>
    </row>
    <row r="24" spans="1:18" x14ac:dyDescent="0.3">
      <c r="A24" s="225"/>
      <c r="B24" s="224" t="s">
        <v>53</v>
      </c>
      <c r="C24" s="224"/>
      <c r="D24" s="214"/>
      <c r="E24" s="214"/>
      <c r="F24" s="224"/>
      <c r="G24" s="224"/>
      <c r="H24" s="226"/>
      <c r="I24" s="224"/>
      <c r="J24" s="220"/>
      <c r="K24" s="211"/>
      <c r="L24" s="212" t="s">
        <v>6</v>
      </c>
      <c r="M24" s="212">
        <v>1</v>
      </c>
      <c r="N24" s="212">
        <v>2</v>
      </c>
      <c r="O24" s="213"/>
    </row>
    <row r="25" spans="1:18" x14ac:dyDescent="0.3">
      <c r="A25" s="225"/>
      <c r="B25" s="224"/>
      <c r="C25" s="224"/>
      <c r="D25" s="224" t="s">
        <v>60</v>
      </c>
      <c r="E25" s="224" t="s">
        <v>61</v>
      </c>
      <c r="F25" s="224"/>
      <c r="G25" s="214" t="s">
        <v>262</v>
      </c>
      <c r="H25" s="226"/>
      <c r="I25" s="224"/>
      <c r="J25" s="220"/>
      <c r="K25" s="382" t="s">
        <v>3</v>
      </c>
      <c r="L25" s="214" t="s">
        <v>7</v>
      </c>
      <c r="M25" s="214">
        <f>M4+P25</f>
        <v>0.04</v>
      </c>
      <c r="N25" s="214">
        <f>N4+Q25</f>
        <v>0.06</v>
      </c>
      <c r="O25" s="215"/>
      <c r="P25" s="210">
        <v>0.02</v>
      </c>
      <c r="Q25" s="210">
        <v>0.02</v>
      </c>
      <c r="R25" s="210" t="s">
        <v>70</v>
      </c>
    </row>
    <row r="26" spans="1:18" x14ac:dyDescent="0.3">
      <c r="A26" s="225"/>
      <c r="B26" s="224" t="s">
        <v>263</v>
      </c>
      <c r="C26" s="224" t="s">
        <v>264</v>
      </c>
      <c r="D26" s="227">
        <f>C23+C6</f>
        <v>-8373.2057416268071</v>
      </c>
      <c r="E26" s="227"/>
      <c r="F26" s="224"/>
      <c r="G26" s="228">
        <f>SUM(D26:E26)</f>
        <v>-8373.2057416268071</v>
      </c>
      <c r="H26" s="226"/>
      <c r="I26" s="224"/>
      <c r="J26" s="220"/>
      <c r="K26" s="382"/>
      <c r="L26" s="214" t="s">
        <v>8</v>
      </c>
      <c r="M26" s="214">
        <f t="shared" ref="M26:N27" si="2">M5+P26</f>
        <v>0.06</v>
      </c>
      <c r="N26" s="214">
        <f t="shared" si="2"/>
        <v>0.08</v>
      </c>
      <c r="O26" s="215"/>
      <c r="P26" s="210">
        <v>0.03</v>
      </c>
      <c r="Q26" s="210">
        <v>0.03</v>
      </c>
      <c r="R26" s="210" t="s">
        <v>69</v>
      </c>
    </row>
    <row r="27" spans="1:18" x14ac:dyDescent="0.3">
      <c r="A27" s="225"/>
      <c r="B27" s="214"/>
      <c r="C27" s="214" t="s">
        <v>265</v>
      </c>
      <c r="D27" s="227">
        <f>D23-C23</f>
        <v>7464.1148325358954</v>
      </c>
      <c r="E27" s="227">
        <f>E23-D23</f>
        <v>909.09090909091174</v>
      </c>
      <c r="F27" s="224"/>
      <c r="G27" s="228">
        <f t="shared" ref="G27:G29" si="3">SUM(D27:E27)</f>
        <v>8373.2057416268071</v>
      </c>
      <c r="H27" s="226"/>
      <c r="I27" s="224"/>
      <c r="J27" s="220"/>
      <c r="K27" s="382"/>
      <c r="L27" s="214" t="s">
        <v>9</v>
      </c>
      <c r="M27" s="214">
        <f t="shared" si="2"/>
        <v>7.4999999999999997E-3</v>
      </c>
      <c r="N27" s="214">
        <f t="shared" si="2"/>
        <v>0.01</v>
      </c>
      <c r="O27" s="215"/>
      <c r="P27" s="210">
        <v>5.0000000000000001E-3</v>
      </c>
      <c r="Q27" s="210">
        <v>5.0000000000000001E-3</v>
      </c>
      <c r="R27" s="210" t="s">
        <v>74</v>
      </c>
    </row>
    <row r="28" spans="1:18" x14ac:dyDescent="0.3">
      <c r="A28" s="225"/>
      <c r="B28" s="230" t="s">
        <v>54</v>
      </c>
      <c r="C28" s="230"/>
      <c r="D28" s="231">
        <f>D6</f>
        <v>9000</v>
      </c>
      <c r="E28" s="231">
        <f>E6</f>
        <v>9000</v>
      </c>
      <c r="F28" s="224"/>
      <c r="G28" s="232">
        <f t="shared" si="3"/>
        <v>18000</v>
      </c>
      <c r="H28" s="226"/>
      <c r="I28" s="224"/>
      <c r="J28" s="220"/>
      <c r="K28" s="382"/>
      <c r="L28" s="214"/>
      <c r="M28" s="214"/>
      <c r="N28" s="214"/>
      <c r="O28" s="215"/>
    </row>
    <row r="29" spans="1:18" x14ac:dyDescent="0.3">
      <c r="A29" s="225"/>
      <c r="B29" s="224" t="s">
        <v>27</v>
      </c>
      <c r="C29" s="233"/>
      <c r="D29" s="227">
        <f>SUM(D26:D28)</f>
        <v>8090.9090909090883</v>
      </c>
      <c r="E29" s="227">
        <f>SUM(E26:E28)</f>
        <v>9909.0909090909117</v>
      </c>
      <c r="F29" s="224"/>
      <c r="G29" s="228">
        <f t="shared" si="3"/>
        <v>18000</v>
      </c>
      <c r="H29" s="226"/>
      <c r="I29" s="224"/>
      <c r="J29" s="220"/>
      <c r="K29" s="216"/>
      <c r="L29" s="214"/>
      <c r="M29" s="214"/>
      <c r="N29" s="214"/>
      <c r="O29" s="215"/>
    </row>
    <row r="30" spans="1:18" x14ac:dyDescent="0.3">
      <c r="A30" s="225"/>
      <c r="B30" s="224"/>
      <c r="C30" s="224"/>
      <c r="D30" s="224"/>
      <c r="E30" s="224"/>
      <c r="F30" s="224"/>
      <c r="G30" s="224"/>
      <c r="H30" s="226"/>
      <c r="I30" s="224"/>
      <c r="J30" s="220"/>
      <c r="K30" s="216"/>
      <c r="L30" s="214"/>
      <c r="M30" s="214">
        <v>1</v>
      </c>
      <c r="N30" s="214">
        <v>2</v>
      </c>
      <c r="O30" s="215"/>
    </row>
    <row r="31" spans="1:18" x14ac:dyDescent="0.3">
      <c r="A31" s="225"/>
      <c r="B31" s="224"/>
      <c r="C31" s="224"/>
      <c r="D31" s="224"/>
      <c r="E31" s="224"/>
      <c r="F31" s="224"/>
      <c r="G31" s="214" t="s">
        <v>262</v>
      </c>
      <c r="H31" s="226"/>
      <c r="I31" s="224"/>
      <c r="J31" s="220"/>
      <c r="K31" s="216" t="s">
        <v>10</v>
      </c>
      <c r="L31" s="214" t="s">
        <v>7</v>
      </c>
      <c r="M31" s="214">
        <f>M25</f>
        <v>0.04</v>
      </c>
      <c r="N31" s="214">
        <f>N25</f>
        <v>0.06</v>
      </c>
      <c r="O31" s="215"/>
    </row>
    <row r="32" spans="1:18" x14ac:dyDescent="0.3">
      <c r="A32" s="225"/>
      <c r="B32" s="224" t="s">
        <v>266</v>
      </c>
      <c r="C32" s="224"/>
      <c r="D32" s="227">
        <f>SUM(D26:D27)-D15</f>
        <v>-4718.6147186147282</v>
      </c>
      <c r="E32" s="227">
        <f>SUM(E26:E27)-E15</f>
        <v>4718.6147186147136</v>
      </c>
      <c r="F32" s="224"/>
      <c r="G32" s="228">
        <f>SUM(D32:E32)</f>
        <v>-1.4551915228366852E-11</v>
      </c>
      <c r="H32" s="226"/>
      <c r="I32" s="224"/>
      <c r="J32" s="220"/>
      <c r="K32" s="216"/>
      <c r="L32" s="214"/>
      <c r="M32" s="214">
        <v>1</v>
      </c>
      <c r="N32" s="214">
        <v>2</v>
      </c>
      <c r="O32" s="215"/>
    </row>
    <row r="33" spans="1:15" x14ac:dyDescent="0.3">
      <c r="A33" s="225"/>
      <c r="B33" s="230" t="s">
        <v>267</v>
      </c>
      <c r="C33" s="230"/>
      <c r="D33" s="231">
        <f>D28-D16</f>
        <v>0</v>
      </c>
      <c r="E33" s="231">
        <f>E28-E16</f>
        <v>0</v>
      </c>
      <c r="F33" s="224"/>
      <c r="G33" s="231">
        <f>SUM(D33:E33)</f>
        <v>0</v>
      </c>
      <c r="H33" s="226"/>
      <c r="I33" s="224"/>
      <c r="J33" s="220"/>
      <c r="K33" s="216"/>
      <c r="L33" s="214" t="s">
        <v>11</v>
      </c>
      <c r="M33" s="214">
        <f>M25+M26</f>
        <v>0.1</v>
      </c>
      <c r="N33" s="214">
        <f>N25+N26</f>
        <v>0.14000000000000001</v>
      </c>
      <c r="O33" s="215"/>
    </row>
    <row r="34" spans="1:15" ht="16.2" thickBot="1" x14ac:dyDescent="0.35">
      <c r="A34" s="217"/>
      <c r="B34" s="218" t="s">
        <v>268</v>
      </c>
      <c r="C34" s="218"/>
      <c r="D34" s="245">
        <f>SUM(D32:D33)</f>
        <v>-4718.6147186147282</v>
      </c>
      <c r="E34" s="245">
        <f>SUM(E32:E33)</f>
        <v>4718.6147186147136</v>
      </c>
      <c r="F34" s="218"/>
      <c r="G34" s="246">
        <f>SUM(D34:E34)</f>
        <v>-1.4551915228366852E-11</v>
      </c>
      <c r="H34" s="219"/>
      <c r="I34" s="224"/>
      <c r="J34" s="220"/>
      <c r="K34" s="216"/>
      <c r="L34" s="214"/>
      <c r="M34" s="214">
        <v>1</v>
      </c>
      <c r="N34" s="214">
        <v>2</v>
      </c>
      <c r="O34" s="215"/>
    </row>
    <row r="35" spans="1:15" x14ac:dyDescent="0.3">
      <c r="A35" s="224"/>
      <c r="B35" s="224"/>
      <c r="C35" s="224"/>
      <c r="D35" s="224"/>
      <c r="E35" s="224"/>
      <c r="F35" s="224"/>
      <c r="H35" s="224"/>
      <c r="I35" s="224"/>
      <c r="J35" s="220"/>
      <c r="K35" s="216"/>
      <c r="L35" s="214" t="s">
        <v>12</v>
      </c>
      <c r="M35" s="214">
        <f>M25+M27</f>
        <v>4.7500000000000001E-2</v>
      </c>
      <c r="N35" s="214">
        <f>N25+N27</f>
        <v>6.9999999999999993E-2</v>
      </c>
      <c r="O35" s="215"/>
    </row>
    <row r="36" spans="1:15" x14ac:dyDescent="0.3">
      <c r="A36" s="224"/>
      <c r="B36" s="224"/>
      <c r="C36" s="233"/>
      <c r="D36" s="233"/>
      <c r="E36" s="224"/>
      <c r="F36" s="224"/>
      <c r="G36" s="224"/>
      <c r="H36" s="224"/>
      <c r="I36" s="224"/>
      <c r="J36" s="220"/>
      <c r="K36" s="216"/>
      <c r="L36" s="214"/>
      <c r="M36" s="214"/>
      <c r="N36" s="214"/>
      <c r="O36" s="215"/>
    </row>
    <row r="37" spans="1:15" x14ac:dyDescent="0.3">
      <c r="A37" s="224"/>
      <c r="B37" s="224"/>
      <c r="C37" s="233"/>
      <c r="D37" s="233"/>
      <c r="E37" s="224"/>
      <c r="F37" s="224"/>
      <c r="G37" s="224"/>
      <c r="H37" s="224"/>
      <c r="I37" s="224"/>
      <c r="J37" s="220"/>
      <c r="K37" s="216"/>
      <c r="L37" s="214"/>
      <c r="M37" s="214">
        <v>1</v>
      </c>
      <c r="N37" s="214">
        <v>2</v>
      </c>
      <c r="O37" s="215"/>
    </row>
    <row r="38" spans="1:15" x14ac:dyDescent="0.3">
      <c r="A38" s="224"/>
      <c r="B38" s="224"/>
      <c r="C38" s="233"/>
      <c r="D38" s="233"/>
      <c r="E38" s="224"/>
      <c r="F38" s="224"/>
      <c r="G38" s="224"/>
      <c r="H38" s="224"/>
      <c r="I38" s="224"/>
      <c r="J38" s="220"/>
      <c r="K38" s="216" t="s">
        <v>10</v>
      </c>
      <c r="L38" s="214" t="s">
        <v>7</v>
      </c>
      <c r="M38" s="214">
        <f>1/(1+M31)</f>
        <v>0.96153846153846145</v>
      </c>
      <c r="N38" s="214">
        <f>(1-N31*SUM($M$38:M38))/(1+N31)</f>
        <v>0.88896952104499272</v>
      </c>
      <c r="O38" s="215"/>
    </row>
    <row r="39" spans="1:15" x14ac:dyDescent="0.3">
      <c r="A39" s="224"/>
      <c r="B39" s="243"/>
      <c r="C39" s="233"/>
      <c r="D39" s="233"/>
      <c r="E39" s="224"/>
      <c r="F39" s="224"/>
      <c r="G39" s="224"/>
      <c r="H39" s="224"/>
      <c r="I39" s="224"/>
      <c r="J39" s="220"/>
      <c r="K39" s="216"/>
      <c r="L39" s="214"/>
      <c r="M39" s="214">
        <v>1</v>
      </c>
      <c r="N39" s="214">
        <v>2</v>
      </c>
      <c r="O39" s="215"/>
    </row>
    <row r="40" spans="1:15" x14ac:dyDescent="0.3">
      <c r="A40" s="224"/>
      <c r="B40" s="243"/>
      <c r="C40" s="244"/>
      <c r="D40" s="244"/>
      <c r="E40" s="224"/>
      <c r="F40" s="224"/>
      <c r="G40" s="224"/>
      <c r="H40" s="224"/>
      <c r="I40" s="224"/>
      <c r="J40" s="220"/>
      <c r="K40" s="216"/>
      <c r="L40" s="214" t="s">
        <v>11</v>
      </c>
      <c r="M40" s="214">
        <f t="shared" ref="M40:M42" si="4">1/(1+M33)</f>
        <v>0.90909090909090906</v>
      </c>
      <c r="N40" s="214">
        <f>(1-N33*SUM($M$40:M40))/(1+N33)</f>
        <v>0.76555023923444965</v>
      </c>
      <c r="O40" s="215"/>
    </row>
    <row r="41" spans="1:15" x14ac:dyDescent="0.3">
      <c r="A41" s="224"/>
      <c r="B41" s="243"/>
      <c r="C41" s="233"/>
      <c r="D41" s="233"/>
      <c r="E41" s="247"/>
      <c r="F41" s="224"/>
      <c r="G41" s="224"/>
      <c r="H41" s="224"/>
      <c r="I41" s="224"/>
      <c r="J41" s="220"/>
      <c r="K41" s="216"/>
      <c r="L41" s="214"/>
      <c r="M41" s="214">
        <v>1</v>
      </c>
      <c r="N41" s="214">
        <v>2</v>
      </c>
      <c r="O41" s="215"/>
    </row>
    <row r="42" spans="1:15" ht="16.2" thickBot="1" x14ac:dyDescent="0.35">
      <c r="A42" s="224"/>
      <c r="B42" s="243"/>
      <c r="C42" s="233"/>
      <c r="D42" s="233"/>
      <c r="E42" s="224"/>
      <c r="F42" s="224"/>
      <c r="G42" s="224"/>
      <c r="H42" s="224"/>
      <c r="I42" s="224"/>
      <c r="J42" s="220"/>
      <c r="K42" s="235"/>
      <c r="L42" s="236" t="s">
        <v>12</v>
      </c>
      <c r="M42" s="236">
        <f t="shared" si="4"/>
        <v>0.95465393794749398</v>
      </c>
      <c r="N42" s="236">
        <f>(1-N35*SUM($M$42:M42))/(1+N35)</f>
        <v>0.87212544331184616</v>
      </c>
      <c r="O42" s="242"/>
    </row>
    <row r="43" spans="1:15" s="249" customFormat="1" ht="16.2" thickBot="1" x14ac:dyDescent="0.35">
      <c r="A43" s="252" t="s">
        <v>271</v>
      </c>
      <c r="B43" s="248"/>
      <c r="C43" s="248"/>
      <c r="D43" s="248"/>
      <c r="E43" s="248"/>
      <c r="F43" s="248"/>
      <c r="G43" s="248"/>
      <c r="H43" s="248"/>
      <c r="I43" s="248"/>
    </row>
    <row r="44" spans="1:15" ht="16.2" thickBot="1" x14ac:dyDescent="0.35">
      <c r="K44" s="211"/>
      <c r="L44" s="212" t="s">
        <v>6</v>
      </c>
      <c r="M44" s="212">
        <v>1</v>
      </c>
      <c r="N44" s="212">
        <v>2</v>
      </c>
      <c r="O44" s="213"/>
    </row>
    <row r="45" spans="1:15" x14ac:dyDescent="0.3">
      <c r="A45" s="211" t="s">
        <v>0</v>
      </c>
      <c r="B45" s="212" t="s">
        <v>13</v>
      </c>
      <c r="C45" s="212" t="s">
        <v>2</v>
      </c>
      <c r="D45" s="212" t="s">
        <v>3</v>
      </c>
      <c r="E45" s="212" t="s">
        <v>4</v>
      </c>
      <c r="F45" s="212"/>
      <c r="G45" s="212"/>
      <c r="H45" s="212"/>
      <c r="I45" s="213"/>
      <c r="K45" s="382" t="s">
        <v>2</v>
      </c>
      <c r="L45" s="214" t="s">
        <v>7</v>
      </c>
      <c r="M45" s="214">
        <v>0.02</v>
      </c>
      <c r="N45" s="214">
        <v>0.04</v>
      </c>
      <c r="O45" s="215"/>
    </row>
    <row r="46" spans="1:15" x14ac:dyDescent="0.3">
      <c r="A46" s="216"/>
      <c r="B46" s="214"/>
      <c r="C46" s="214"/>
      <c r="D46" s="214"/>
      <c r="E46" s="214"/>
      <c r="F46" s="214"/>
      <c r="G46" s="214"/>
      <c r="H46" s="214"/>
      <c r="I46" s="215"/>
      <c r="K46" s="382"/>
      <c r="L46" s="214" t="s">
        <v>8</v>
      </c>
      <c r="M46" s="214">
        <v>0.03</v>
      </c>
      <c r="N46" s="214">
        <v>0.05</v>
      </c>
      <c r="O46" s="215"/>
    </row>
    <row r="47" spans="1:15" x14ac:dyDescent="0.3">
      <c r="A47" s="216" t="s">
        <v>269</v>
      </c>
      <c r="B47" s="214" t="s">
        <v>14</v>
      </c>
      <c r="C47" s="214">
        <v>-100000</v>
      </c>
      <c r="D47" s="214">
        <v>5000</v>
      </c>
      <c r="E47" s="214">
        <v>5000</v>
      </c>
      <c r="F47" s="214"/>
      <c r="G47" s="214"/>
      <c r="H47" s="214"/>
      <c r="I47" s="215"/>
      <c r="K47" s="382"/>
      <c r="L47" s="214" t="s">
        <v>9</v>
      </c>
      <c r="M47" s="214">
        <v>2.5000000000000001E-3</v>
      </c>
      <c r="N47" s="214">
        <v>5.0000000000000001E-3</v>
      </c>
      <c r="O47" s="215"/>
    </row>
    <row r="48" spans="1:15" x14ac:dyDescent="0.3">
      <c r="A48" s="225"/>
      <c r="B48" s="224"/>
      <c r="C48" s="224"/>
      <c r="D48" s="224">
        <v>100000</v>
      </c>
      <c r="E48" s="224">
        <v>100000</v>
      </c>
      <c r="F48" s="214"/>
      <c r="G48" s="224"/>
      <c r="H48" s="224"/>
      <c r="I48" s="215"/>
      <c r="J48" s="220"/>
      <c r="K48" s="382"/>
      <c r="L48" s="214"/>
      <c r="M48" s="214"/>
      <c r="N48" s="214"/>
      <c r="O48" s="215"/>
    </row>
    <row r="49" spans="1:15" ht="16.2" thickBot="1" x14ac:dyDescent="0.35">
      <c r="A49" s="217"/>
      <c r="B49" s="218"/>
      <c r="C49" s="218"/>
      <c r="D49" s="218">
        <v>-100000</v>
      </c>
      <c r="E49" s="218"/>
      <c r="F49" s="236"/>
      <c r="G49" s="218"/>
      <c r="H49" s="218"/>
      <c r="I49" s="242"/>
      <c r="J49" s="220"/>
      <c r="K49" s="216"/>
      <c r="L49" s="214"/>
      <c r="M49" s="214"/>
      <c r="N49" s="214"/>
      <c r="O49" s="215"/>
    </row>
    <row r="50" spans="1:15" ht="16.2" thickBot="1" x14ac:dyDescent="0.35">
      <c r="J50" s="220"/>
      <c r="K50" s="216"/>
      <c r="L50" s="214"/>
      <c r="M50" s="214">
        <v>1</v>
      </c>
      <c r="N50" s="214">
        <v>2</v>
      </c>
      <c r="O50" s="215"/>
    </row>
    <row r="51" spans="1:15" ht="32.4" customHeight="1" x14ac:dyDescent="0.3">
      <c r="A51" s="384" t="s">
        <v>275</v>
      </c>
      <c r="B51" s="385"/>
      <c r="C51" s="385"/>
      <c r="D51" s="385"/>
      <c r="E51" s="385"/>
      <c r="F51" s="385"/>
      <c r="G51" s="385"/>
      <c r="H51" s="385"/>
      <c r="I51" s="386"/>
      <c r="J51" s="220"/>
      <c r="K51" s="216" t="s">
        <v>10</v>
      </c>
      <c r="L51" s="214" t="s">
        <v>7</v>
      </c>
      <c r="M51" s="214">
        <f>M45+P51</f>
        <v>0.02</v>
      </c>
      <c r="N51" s="214">
        <f>N45+Q51</f>
        <v>0.04</v>
      </c>
      <c r="O51" s="215"/>
    </row>
    <row r="52" spans="1:15" x14ac:dyDescent="0.3">
      <c r="A52" s="225"/>
      <c r="B52" s="224"/>
      <c r="C52" s="224"/>
      <c r="D52" s="224"/>
      <c r="E52" s="224"/>
      <c r="F52" s="224"/>
      <c r="G52" s="224"/>
      <c r="H52" s="224"/>
      <c r="I52" s="226"/>
      <c r="J52" s="220"/>
      <c r="K52" s="216"/>
      <c r="L52" s="214"/>
      <c r="M52" s="214">
        <v>1</v>
      </c>
      <c r="N52" s="214">
        <v>2</v>
      </c>
      <c r="O52" s="215"/>
    </row>
    <row r="53" spans="1:15" x14ac:dyDescent="0.3">
      <c r="A53" s="225"/>
      <c r="B53" s="224" t="s">
        <v>261</v>
      </c>
      <c r="C53" s="224">
        <f>SUM(D47:D48)*M60</f>
        <v>100000</v>
      </c>
      <c r="D53" s="224">
        <f>SUM(E47:E48)*M60</f>
        <v>100000</v>
      </c>
      <c r="E53" s="224">
        <f>E48</f>
        <v>100000</v>
      </c>
      <c r="F53" s="224"/>
      <c r="G53" s="214"/>
      <c r="H53" s="214"/>
      <c r="I53" s="215"/>
      <c r="J53" s="220"/>
      <c r="K53" s="216"/>
      <c r="L53" s="214" t="s">
        <v>11</v>
      </c>
      <c r="M53" s="214">
        <f>M45+M46+P53</f>
        <v>0.05</v>
      </c>
      <c r="N53" s="214">
        <f>N45+N46+Q53</f>
        <v>0.09</v>
      </c>
      <c r="O53" s="215"/>
    </row>
    <row r="54" spans="1:15" x14ac:dyDescent="0.3">
      <c r="A54" s="225"/>
      <c r="B54" s="224" t="s">
        <v>53</v>
      </c>
      <c r="C54" s="224"/>
      <c r="D54" s="214"/>
      <c r="E54" s="214"/>
      <c r="F54" s="214"/>
      <c r="G54" s="214"/>
      <c r="H54" s="214"/>
      <c r="I54" s="215"/>
      <c r="J54" s="220"/>
      <c r="K54" s="216"/>
      <c r="L54" s="214"/>
      <c r="M54" s="214">
        <v>1</v>
      </c>
      <c r="N54" s="214">
        <v>2</v>
      </c>
      <c r="O54" s="215"/>
    </row>
    <row r="55" spans="1:15" x14ac:dyDescent="0.3">
      <c r="A55" s="225"/>
      <c r="B55" s="224"/>
      <c r="C55" s="224"/>
      <c r="D55" s="224" t="s">
        <v>60</v>
      </c>
      <c r="E55" s="224" t="s">
        <v>61</v>
      </c>
      <c r="F55" s="224"/>
      <c r="G55" s="214" t="s">
        <v>262</v>
      </c>
      <c r="H55" s="214"/>
      <c r="I55" s="215"/>
      <c r="J55" s="220"/>
      <c r="K55" s="216"/>
      <c r="L55" s="214" t="s">
        <v>12</v>
      </c>
      <c r="M55" s="214">
        <f>M45+M47+P55</f>
        <v>2.2499999999999999E-2</v>
      </c>
      <c r="N55" s="214">
        <f>N45+N47+Q55</f>
        <v>4.4999999999999998E-2</v>
      </c>
      <c r="O55" s="215"/>
    </row>
    <row r="56" spans="1:15" x14ac:dyDescent="0.3">
      <c r="A56" s="225"/>
      <c r="B56" s="224" t="s">
        <v>263</v>
      </c>
      <c r="C56" s="224" t="s">
        <v>264</v>
      </c>
      <c r="D56" s="227">
        <f>C53+C47</f>
        <v>0</v>
      </c>
      <c r="E56" s="227">
        <v>0</v>
      </c>
      <c r="F56" s="227"/>
      <c r="G56" s="228">
        <f>SUM(D56:E56)</f>
        <v>0</v>
      </c>
      <c r="H56" s="214"/>
      <c r="I56" s="215"/>
      <c r="J56" s="220"/>
      <c r="K56" s="216"/>
      <c r="L56" s="214"/>
      <c r="M56" s="214"/>
      <c r="N56" s="214"/>
      <c r="O56" s="215"/>
    </row>
    <row r="57" spans="1:15" x14ac:dyDescent="0.3">
      <c r="A57" s="225"/>
      <c r="B57" s="214"/>
      <c r="C57" s="214" t="s">
        <v>265</v>
      </c>
      <c r="D57" s="227">
        <f>D53-C53</f>
        <v>0</v>
      </c>
      <c r="E57" s="227">
        <f>E53-D53</f>
        <v>0</v>
      </c>
      <c r="F57" s="229"/>
      <c r="G57" s="228">
        <f t="shared" ref="G57:G59" si="5">SUM(D57:E57)</f>
        <v>0</v>
      </c>
      <c r="H57" s="214"/>
      <c r="I57" s="215"/>
      <c r="J57" s="220"/>
      <c r="K57" s="216"/>
      <c r="L57" s="214"/>
      <c r="M57" s="214">
        <v>1</v>
      </c>
      <c r="N57" s="214">
        <v>2</v>
      </c>
      <c r="O57" s="215"/>
    </row>
    <row r="58" spans="1:15" x14ac:dyDescent="0.3">
      <c r="A58" s="225"/>
      <c r="B58" s="230" t="s">
        <v>54</v>
      </c>
      <c r="C58" s="230"/>
      <c r="D58" s="231">
        <f>D47</f>
        <v>5000</v>
      </c>
      <c r="E58" s="231">
        <f>E47</f>
        <v>5000</v>
      </c>
      <c r="F58" s="224"/>
      <c r="G58" s="232">
        <f t="shared" si="5"/>
        <v>10000</v>
      </c>
      <c r="H58" s="214"/>
      <c r="I58" s="215"/>
      <c r="J58" s="220"/>
      <c r="K58" s="216" t="s">
        <v>10</v>
      </c>
      <c r="L58" s="214" t="s">
        <v>7</v>
      </c>
      <c r="M58" s="214">
        <f>1/(1+M51)</f>
        <v>0.98039215686274506</v>
      </c>
      <c r="N58" s="214">
        <f>(1-N51*SUM($M$58:M58))/(1+N51)</f>
        <v>0.92383107088989447</v>
      </c>
      <c r="O58" s="215"/>
    </row>
    <row r="59" spans="1:15" x14ac:dyDescent="0.3">
      <c r="A59" s="216"/>
      <c r="B59" s="224" t="s">
        <v>27</v>
      </c>
      <c r="C59" s="233"/>
      <c r="D59" s="227">
        <f>SUM(D56:D58)</f>
        <v>5000</v>
      </c>
      <c r="E59" s="227">
        <f>SUM(E56:E58)</f>
        <v>5000</v>
      </c>
      <c r="F59" s="214"/>
      <c r="G59" s="228">
        <f t="shared" si="5"/>
        <v>10000</v>
      </c>
      <c r="H59" s="238"/>
      <c r="I59" s="226"/>
      <c r="J59" s="220"/>
      <c r="K59" s="216"/>
      <c r="L59" s="214"/>
      <c r="M59" s="214">
        <v>1</v>
      </c>
      <c r="N59" s="214">
        <v>2</v>
      </c>
      <c r="O59" s="215"/>
    </row>
    <row r="60" spans="1:15" ht="16.2" thickBot="1" x14ac:dyDescent="0.35">
      <c r="A60" s="235"/>
      <c r="B60" s="236"/>
      <c r="C60" s="236"/>
      <c r="D60" s="236"/>
      <c r="E60" s="236"/>
      <c r="F60" s="236"/>
      <c r="G60" s="236"/>
      <c r="H60" s="218"/>
      <c r="I60" s="219"/>
      <c r="J60" s="220"/>
      <c r="K60" s="216"/>
      <c r="L60" s="214" t="s">
        <v>11</v>
      </c>
      <c r="M60" s="214">
        <f t="shared" ref="M60:M62" si="6">1/(1+M53)</f>
        <v>0.95238095238095233</v>
      </c>
      <c r="N60" s="214">
        <f>(1-N53*SUM($M$60:M60))/(1+N53)</f>
        <v>0.83879423328964609</v>
      </c>
      <c r="O60" s="215"/>
    </row>
    <row r="61" spans="1:15" x14ac:dyDescent="0.3">
      <c r="A61" s="224"/>
      <c r="B61" s="224"/>
      <c r="C61" s="233"/>
      <c r="D61" s="233"/>
      <c r="E61" s="224"/>
      <c r="F61" s="224"/>
      <c r="G61" s="238"/>
      <c r="H61" s="224"/>
      <c r="I61" s="224"/>
      <c r="J61" s="220"/>
      <c r="K61" s="216"/>
      <c r="L61" s="214"/>
      <c r="M61" s="214">
        <v>1</v>
      </c>
      <c r="N61" s="214">
        <v>2</v>
      </c>
      <c r="O61" s="215"/>
    </row>
    <row r="62" spans="1:15" ht="16.2" thickBot="1" x14ac:dyDescent="0.35">
      <c r="B62" s="243"/>
      <c r="C62" s="233"/>
      <c r="D62" s="233"/>
      <c r="E62" s="224"/>
      <c r="F62" s="224"/>
      <c r="G62" s="238"/>
      <c r="H62" s="224"/>
      <c r="I62" s="224"/>
      <c r="J62" s="220"/>
      <c r="K62" s="235"/>
      <c r="L62" s="236" t="s">
        <v>12</v>
      </c>
      <c r="M62" s="236">
        <f t="shared" si="6"/>
        <v>0.97799511002444994</v>
      </c>
      <c r="N62" s="236">
        <f>(1-N55*SUM($M$62:M62))/(1+N55)</f>
        <v>0.91482317708028693</v>
      </c>
      <c r="O62" s="242"/>
    </row>
    <row r="63" spans="1:15" x14ac:dyDescent="0.3">
      <c r="A63" s="211" t="s">
        <v>269</v>
      </c>
      <c r="B63" s="212" t="s">
        <v>14</v>
      </c>
      <c r="C63" s="212">
        <v>-100000</v>
      </c>
      <c r="D63" s="212">
        <v>5000</v>
      </c>
      <c r="E63" s="212">
        <v>10000</v>
      </c>
      <c r="F63" s="222"/>
      <c r="G63" s="222"/>
      <c r="H63" s="222"/>
      <c r="I63" s="223"/>
      <c r="J63" s="220"/>
    </row>
    <row r="64" spans="1:15" ht="16.2" thickBot="1" x14ac:dyDescent="0.35">
      <c r="A64" s="225"/>
      <c r="B64" s="224"/>
      <c r="C64" s="224"/>
      <c r="D64" s="224">
        <v>100000</v>
      </c>
      <c r="E64" s="224">
        <v>100000</v>
      </c>
      <c r="F64" s="214"/>
      <c r="G64" s="214"/>
      <c r="H64" s="214"/>
      <c r="I64" s="215"/>
    </row>
    <row r="65" spans="1:17" ht="16.2" thickBot="1" x14ac:dyDescent="0.35">
      <c r="A65" s="217"/>
      <c r="B65" s="218"/>
      <c r="C65" s="218"/>
      <c r="D65" s="218">
        <v>-100000</v>
      </c>
      <c r="E65" s="218"/>
      <c r="F65" s="236"/>
      <c r="G65" s="218"/>
      <c r="H65" s="218"/>
      <c r="I65" s="242"/>
      <c r="K65" s="211"/>
      <c r="L65" s="212" t="s">
        <v>6</v>
      </c>
      <c r="M65" s="212">
        <v>1</v>
      </c>
      <c r="N65" s="212">
        <v>2</v>
      </c>
      <c r="O65" s="213"/>
    </row>
    <row r="66" spans="1:17" ht="16.2" thickBot="1" x14ac:dyDescent="0.35">
      <c r="G66" s="220"/>
      <c r="H66" s="220"/>
      <c r="I66" s="220"/>
      <c r="K66" s="382" t="s">
        <v>3</v>
      </c>
      <c r="L66" s="214" t="s">
        <v>7</v>
      </c>
      <c r="M66" s="214">
        <f>M45+P66</f>
        <v>0.04</v>
      </c>
      <c r="N66" s="214">
        <f>N45+Q66</f>
        <v>0.06</v>
      </c>
      <c r="O66" s="215"/>
      <c r="P66" s="210">
        <v>0.02</v>
      </c>
      <c r="Q66" s="210">
        <v>0.02</v>
      </c>
    </row>
    <row r="67" spans="1:17" ht="32.4" customHeight="1" x14ac:dyDescent="0.3">
      <c r="A67" s="384" t="s">
        <v>276</v>
      </c>
      <c r="B67" s="385"/>
      <c r="C67" s="385"/>
      <c r="D67" s="385"/>
      <c r="E67" s="385"/>
      <c r="F67" s="385"/>
      <c r="G67" s="385"/>
      <c r="H67" s="385"/>
      <c r="I67" s="386"/>
      <c r="J67" s="220"/>
      <c r="K67" s="382"/>
      <c r="L67" s="214" t="s">
        <v>8</v>
      </c>
      <c r="M67" s="214">
        <f t="shared" ref="M67:N68" si="7">M46+P67</f>
        <v>0.06</v>
      </c>
      <c r="N67" s="214">
        <f t="shared" si="7"/>
        <v>0.08</v>
      </c>
      <c r="O67" s="215"/>
      <c r="P67" s="210">
        <v>0.03</v>
      </c>
      <c r="Q67" s="210">
        <v>0.03</v>
      </c>
    </row>
    <row r="68" spans="1:17" x14ac:dyDescent="0.3">
      <c r="A68" s="216"/>
      <c r="B68" s="214"/>
      <c r="C68" s="214"/>
      <c r="D68" s="227"/>
      <c r="E68" s="227"/>
      <c r="F68" s="224"/>
      <c r="G68" s="224"/>
      <c r="H68" s="224"/>
      <c r="I68" s="226"/>
      <c r="J68" s="220"/>
      <c r="K68" s="382"/>
      <c r="L68" s="214" t="s">
        <v>9</v>
      </c>
      <c r="M68" s="214">
        <f t="shared" si="7"/>
        <v>7.4999999999999997E-3</v>
      </c>
      <c r="N68" s="214">
        <f t="shared" si="7"/>
        <v>0.01</v>
      </c>
      <c r="O68" s="215"/>
      <c r="P68" s="210">
        <v>5.0000000000000001E-3</v>
      </c>
      <c r="Q68" s="210">
        <v>5.0000000000000001E-3</v>
      </c>
    </row>
    <row r="69" spans="1:17" x14ac:dyDescent="0.3">
      <c r="A69" s="225"/>
      <c r="B69" s="224" t="s">
        <v>261</v>
      </c>
      <c r="C69" s="227">
        <f>SUM(D63:D64)*M81</f>
        <v>95454.545454545456</v>
      </c>
      <c r="D69" s="227">
        <f>SUM(E63:E64)*M81</f>
        <v>100000</v>
      </c>
      <c r="E69" s="227">
        <f>E48</f>
        <v>100000</v>
      </c>
      <c r="F69" s="224"/>
      <c r="G69" s="224"/>
      <c r="H69" s="224"/>
      <c r="I69" s="226"/>
      <c r="J69" s="220"/>
      <c r="K69" s="382"/>
      <c r="L69" s="214"/>
      <c r="M69" s="214"/>
      <c r="N69" s="214"/>
      <c r="O69" s="215"/>
    </row>
    <row r="70" spans="1:17" x14ac:dyDescent="0.3">
      <c r="A70" s="225"/>
      <c r="B70" s="224" t="s">
        <v>53</v>
      </c>
      <c r="C70" s="224"/>
      <c r="D70" s="214"/>
      <c r="E70" s="214"/>
      <c r="F70" s="224"/>
      <c r="G70" s="224"/>
      <c r="H70" s="224"/>
      <c r="I70" s="226"/>
      <c r="J70" s="220"/>
      <c r="K70" s="216"/>
      <c r="L70" s="214"/>
      <c r="M70" s="214"/>
      <c r="N70" s="214"/>
      <c r="O70" s="215"/>
    </row>
    <row r="71" spans="1:17" x14ac:dyDescent="0.3">
      <c r="A71" s="225"/>
      <c r="B71" s="224"/>
      <c r="C71" s="224"/>
      <c r="D71" s="224" t="s">
        <v>60</v>
      </c>
      <c r="E71" s="224" t="s">
        <v>61</v>
      </c>
      <c r="F71" s="224"/>
      <c r="G71" s="214" t="s">
        <v>262</v>
      </c>
      <c r="H71" s="224"/>
      <c r="I71" s="226"/>
      <c r="J71" s="220"/>
      <c r="K71" s="216"/>
      <c r="L71" s="214"/>
      <c r="M71" s="214">
        <v>1</v>
      </c>
      <c r="N71" s="214">
        <v>2</v>
      </c>
      <c r="O71" s="215"/>
    </row>
    <row r="72" spans="1:17" x14ac:dyDescent="0.3">
      <c r="A72" s="225"/>
      <c r="B72" s="224" t="s">
        <v>263</v>
      </c>
      <c r="C72" s="224" t="s">
        <v>264</v>
      </c>
      <c r="D72" s="227">
        <f>C69+C47</f>
        <v>-4545.4545454545441</v>
      </c>
      <c r="E72" s="227"/>
      <c r="F72" s="224"/>
      <c r="G72" s="228">
        <f>SUM(D72:E72)</f>
        <v>-4545.4545454545441</v>
      </c>
      <c r="H72" s="224"/>
      <c r="I72" s="226"/>
      <c r="J72" s="220"/>
      <c r="K72" s="216" t="s">
        <v>10</v>
      </c>
      <c r="L72" s="214" t="s">
        <v>7</v>
      </c>
      <c r="M72" s="214">
        <f>M66+P72</f>
        <v>0.04</v>
      </c>
      <c r="N72" s="214">
        <f>N66+Q72</f>
        <v>0.06</v>
      </c>
      <c r="O72" s="215"/>
    </row>
    <row r="73" spans="1:17" x14ac:dyDescent="0.3">
      <c r="A73" s="225"/>
      <c r="B73" s="214"/>
      <c r="C73" s="214" t="s">
        <v>265</v>
      </c>
      <c r="D73" s="227">
        <f>D69-C69</f>
        <v>4545.4545454545441</v>
      </c>
      <c r="E73" s="227">
        <f>E69-D69</f>
        <v>0</v>
      </c>
      <c r="F73" s="224"/>
      <c r="G73" s="228">
        <f t="shared" ref="G73:G75" si="8">SUM(D73:E73)</f>
        <v>4545.4545454545441</v>
      </c>
      <c r="H73" s="224"/>
      <c r="I73" s="226"/>
      <c r="J73" s="220"/>
      <c r="K73" s="216"/>
      <c r="L73" s="214"/>
      <c r="M73" s="214">
        <v>1</v>
      </c>
      <c r="N73" s="214">
        <v>2</v>
      </c>
      <c r="O73" s="215"/>
    </row>
    <row r="74" spans="1:17" x14ac:dyDescent="0.3">
      <c r="A74" s="225"/>
      <c r="B74" s="250" t="s">
        <v>54</v>
      </c>
      <c r="C74" s="251"/>
      <c r="D74" s="229">
        <f>D63</f>
        <v>5000</v>
      </c>
      <c r="E74" s="229">
        <f>E63</f>
        <v>10000</v>
      </c>
      <c r="F74" s="224"/>
      <c r="G74" s="232">
        <f t="shared" si="8"/>
        <v>15000</v>
      </c>
      <c r="H74" s="224"/>
      <c r="I74" s="226"/>
      <c r="J74" s="220"/>
      <c r="K74" s="216"/>
      <c r="L74" s="214" t="s">
        <v>11</v>
      </c>
      <c r="M74" s="214">
        <f>M66+M67+P74</f>
        <v>0.1</v>
      </c>
      <c r="N74" s="214">
        <f>N66+N67+Q74</f>
        <v>0.14000000000000001</v>
      </c>
      <c r="O74" s="215"/>
    </row>
    <row r="75" spans="1:17" x14ac:dyDescent="0.3">
      <c r="A75" s="225"/>
      <c r="B75" s="224" t="s">
        <v>27</v>
      </c>
      <c r="C75" s="233"/>
      <c r="D75" s="227">
        <f>SUM(D72:D74)</f>
        <v>5000</v>
      </c>
      <c r="E75" s="227">
        <f>SUM(E72:E74)</f>
        <v>10000</v>
      </c>
      <c r="F75" s="224"/>
      <c r="G75" s="228">
        <f t="shared" si="8"/>
        <v>15000</v>
      </c>
      <c r="H75" s="224"/>
      <c r="I75" s="226"/>
      <c r="J75" s="220"/>
      <c r="K75" s="216"/>
      <c r="L75" s="214"/>
      <c r="M75" s="214">
        <v>1</v>
      </c>
      <c r="N75" s="214">
        <v>2</v>
      </c>
      <c r="O75" s="215"/>
    </row>
    <row r="76" spans="1:17" x14ac:dyDescent="0.3">
      <c r="A76" s="225"/>
      <c r="B76" s="224"/>
      <c r="C76" s="224"/>
      <c r="D76" s="224"/>
      <c r="E76" s="224"/>
      <c r="F76" s="224"/>
      <c r="G76" s="224"/>
      <c r="H76" s="224"/>
      <c r="I76" s="226"/>
      <c r="J76" s="220"/>
      <c r="K76" s="216"/>
      <c r="L76" s="214" t="s">
        <v>12</v>
      </c>
      <c r="M76" s="214">
        <f>M66+M68+P76</f>
        <v>4.7500000000000001E-2</v>
      </c>
      <c r="N76" s="214">
        <f>N66+N68+Q76</f>
        <v>6.9999999999999993E-2</v>
      </c>
      <c r="O76" s="215"/>
    </row>
    <row r="77" spans="1:17" x14ac:dyDescent="0.3">
      <c r="A77" s="225"/>
      <c r="B77" s="224"/>
      <c r="C77" s="224"/>
      <c r="D77" s="224"/>
      <c r="E77" s="224"/>
      <c r="F77" s="224"/>
      <c r="G77" s="214" t="s">
        <v>262</v>
      </c>
      <c r="H77" s="224"/>
      <c r="I77" s="226"/>
      <c r="J77" s="220"/>
      <c r="K77" s="216"/>
      <c r="L77" s="214"/>
      <c r="M77" s="214"/>
      <c r="N77" s="214"/>
      <c r="O77" s="215"/>
    </row>
    <row r="78" spans="1:17" x14ac:dyDescent="0.3">
      <c r="A78" s="225"/>
      <c r="B78" s="224" t="s">
        <v>266</v>
      </c>
      <c r="C78" s="224"/>
      <c r="D78" s="227">
        <f>SUM(D72:D73)-D57</f>
        <v>0</v>
      </c>
      <c r="E78" s="227">
        <f>SUM(E72:E73)-E57</f>
        <v>0</v>
      </c>
      <c r="F78" s="224"/>
      <c r="G78" s="228">
        <f>SUM(D78:E78)</f>
        <v>0</v>
      </c>
      <c r="H78" s="224"/>
      <c r="I78" s="226"/>
      <c r="J78" s="220"/>
      <c r="K78" s="216"/>
      <c r="L78" s="214"/>
      <c r="M78" s="214">
        <v>1</v>
      </c>
      <c r="N78" s="214">
        <v>2</v>
      </c>
      <c r="O78" s="215"/>
    </row>
    <row r="79" spans="1:17" x14ac:dyDescent="0.3">
      <c r="A79" s="225"/>
      <c r="B79" s="230" t="s">
        <v>267</v>
      </c>
      <c r="C79" s="230"/>
      <c r="D79" s="231">
        <f>D74-D58</f>
        <v>0</v>
      </c>
      <c r="E79" s="231">
        <f>E74-E58</f>
        <v>5000</v>
      </c>
      <c r="F79" s="224"/>
      <c r="G79" s="231">
        <f>SUM(D79:E79)</f>
        <v>5000</v>
      </c>
      <c r="H79" s="224"/>
      <c r="I79" s="226"/>
      <c r="J79" s="220"/>
      <c r="K79" s="216" t="s">
        <v>10</v>
      </c>
      <c r="L79" s="214" t="s">
        <v>7</v>
      </c>
      <c r="M79" s="214">
        <f>1/(1+M72)</f>
        <v>0.96153846153846145</v>
      </c>
      <c r="N79" s="214">
        <f>(1-N72*SUM($M$79:M79))/(1+N72)</f>
        <v>0.88896952104499272</v>
      </c>
      <c r="O79" s="215"/>
    </row>
    <row r="80" spans="1:17" x14ac:dyDescent="0.3">
      <c r="A80" s="225"/>
      <c r="B80" s="224" t="s">
        <v>268</v>
      </c>
      <c r="C80" s="224"/>
      <c r="D80" s="227">
        <f>SUM(D78:D79)</f>
        <v>0</v>
      </c>
      <c r="E80" s="227">
        <f>SUM(E78:E79)</f>
        <v>5000</v>
      </c>
      <c r="F80" s="224"/>
      <c r="G80" s="228">
        <f>SUM(D80:E80)</f>
        <v>5000</v>
      </c>
      <c r="H80" s="224"/>
      <c r="I80" s="226"/>
      <c r="J80" s="220"/>
      <c r="K80" s="216"/>
      <c r="L80" s="214"/>
      <c r="M80" s="214">
        <v>1</v>
      </c>
      <c r="N80" s="214">
        <v>2</v>
      </c>
      <c r="O80" s="215"/>
    </row>
    <row r="81" spans="1:15" ht="16.2" thickBot="1" x14ac:dyDescent="0.35">
      <c r="A81" s="217"/>
      <c r="B81" s="254"/>
      <c r="C81" s="255"/>
      <c r="D81" s="255"/>
      <c r="E81" s="218"/>
      <c r="F81" s="218"/>
      <c r="G81" s="218"/>
      <c r="H81" s="218"/>
      <c r="I81" s="219"/>
      <c r="J81" s="220"/>
      <c r="K81" s="216"/>
      <c r="L81" s="214" t="s">
        <v>11</v>
      </c>
      <c r="M81" s="214">
        <f t="shared" ref="M81:M83" si="9">1/(1+M74)</f>
        <v>0.90909090909090906</v>
      </c>
      <c r="N81" s="214">
        <f>(1-N74*SUM($M$81:M81))/(1+N74)</f>
        <v>0.76555023923444965</v>
      </c>
      <c r="O81" s="215"/>
    </row>
    <row r="82" spans="1:15" x14ac:dyDescent="0.3">
      <c r="A82" s="224"/>
      <c r="B82" s="243"/>
      <c r="C82" s="233"/>
      <c r="D82" s="233"/>
      <c r="E82" s="247"/>
      <c r="F82" s="224"/>
      <c r="G82" s="224"/>
      <c r="H82" s="224"/>
      <c r="I82" s="224"/>
      <c r="J82" s="220"/>
      <c r="K82" s="216"/>
      <c r="L82" s="214"/>
      <c r="M82" s="214">
        <v>1</v>
      </c>
      <c r="N82" s="214">
        <v>2</v>
      </c>
      <c r="O82" s="215"/>
    </row>
    <row r="83" spans="1:15" ht="16.2" thickBot="1" x14ac:dyDescent="0.35">
      <c r="A83" s="224"/>
      <c r="B83" s="243"/>
      <c r="C83" s="233"/>
      <c r="D83" s="233"/>
      <c r="E83" s="224"/>
      <c r="F83" s="224"/>
      <c r="G83" s="224"/>
      <c r="H83" s="224"/>
      <c r="I83" s="224"/>
      <c r="J83" s="220"/>
      <c r="K83" s="235"/>
      <c r="L83" s="236" t="s">
        <v>12</v>
      </c>
      <c r="M83" s="236">
        <f t="shared" si="9"/>
        <v>0.95465393794749398</v>
      </c>
      <c r="N83" s="236">
        <f>(1-N76*SUM($M$83:M83))/(1+N76)</f>
        <v>0.87212544331184616</v>
      </c>
      <c r="O83" s="242"/>
    </row>
  </sheetData>
  <mergeCells count="7">
    <mergeCell ref="K4:K7"/>
    <mergeCell ref="B14:B15"/>
    <mergeCell ref="K25:K28"/>
    <mergeCell ref="K45:K48"/>
    <mergeCell ref="K66:K69"/>
    <mergeCell ref="A51:I51"/>
    <mergeCell ref="A67:I6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1"/>
  <sheetViews>
    <sheetView workbookViewId="0"/>
  </sheetViews>
  <sheetFormatPr baseColWidth="10" defaultColWidth="11.5546875" defaultRowHeight="13.8" x14ac:dyDescent="0.25"/>
  <cols>
    <col min="1" max="1" width="16.88671875" style="17" customWidth="1"/>
    <col min="2" max="2" width="26.109375" style="17" customWidth="1"/>
    <col min="3" max="3" width="19.44140625" style="17" bestFit="1" customWidth="1"/>
    <col min="4" max="4" width="12.6640625" style="17" bestFit="1" customWidth="1"/>
    <col min="5" max="5" width="13.6640625" style="17" bestFit="1" customWidth="1"/>
    <col min="6" max="6" width="11.5546875" style="17"/>
    <col min="7" max="7" width="15" style="17" customWidth="1"/>
    <col min="8" max="8" width="13.44140625" style="17" customWidth="1"/>
    <col min="9" max="16384" width="11.5546875" style="17"/>
  </cols>
  <sheetData>
    <row r="1" spans="1:15" ht="18" thickBot="1" x14ac:dyDescent="0.35">
      <c r="A1" s="18" t="s">
        <v>369</v>
      </c>
    </row>
    <row r="2" spans="1:15" x14ac:dyDescent="0.25">
      <c r="A2" s="388" t="s">
        <v>330</v>
      </c>
      <c r="B2" s="388"/>
      <c r="C2" s="388"/>
      <c r="D2" s="388"/>
      <c r="E2" s="388"/>
      <c r="F2" s="388"/>
      <c r="G2" s="388"/>
      <c r="H2" s="388"/>
      <c r="I2" s="388"/>
      <c r="J2" s="389"/>
      <c r="K2" s="39"/>
      <c r="L2" s="41" t="s">
        <v>6</v>
      </c>
      <c r="M2" s="41">
        <v>1</v>
      </c>
      <c r="N2" s="41">
        <v>2</v>
      </c>
      <c r="O2" s="42"/>
    </row>
    <row r="3" spans="1:15" x14ac:dyDescent="0.25">
      <c r="A3" s="17" t="s">
        <v>0</v>
      </c>
      <c r="B3" s="17" t="s">
        <v>13</v>
      </c>
      <c r="C3" s="17" t="s">
        <v>2</v>
      </c>
      <c r="F3" s="17" t="s">
        <v>3</v>
      </c>
      <c r="I3" s="17" t="s">
        <v>4</v>
      </c>
      <c r="K3" s="365" t="s">
        <v>2</v>
      </c>
      <c r="L3" s="43" t="s">
        <v>7</v>
      </c>
      <c r="M3" s="43">
        <v>0.02</v>
      </c>
      <c r="N3" s="43">
        <v>0.04</v>
      </c>
      <c r="O3" s="45"/>
    </row>
    <row r="4" spans="1:15" x14ac:dyDescent="0.25">
      <c r="K4" s="365"/>
      <c r="L4" s="43" t="s">
        <v>8</v>
      </c>
      <c r="M4" s="43">
        <v>0.03</v>
      </c>
      <c r="N4" s="43">
        <v>0.05</v>
      </c>
      <c r="O4" s="45"/>
    </row>
    <row r="5" spans="1:15" x14ac:dyDescent="0.25">
      <c r="A5" s="17" t="s">
        <v>1</v>
      </c>
      <c r="B5" s="17" t="s">
        <v>14</v>
      </c>
      <c r="C5" s="17">
        <v>-100000</v>
      </c>
      <c r="F5" s="17">
        <v>9000</v>
      </c>
      <c r="I5" s="17">
        <v>109000.00000000001</v>
      </c>
      <c r="K5" s="365"/>
      <c r="L5" s="43" t="s">
        <v>9</v>
      </c>
      <c r="M5" s="43">
        <v>2.5000000000000001E-3</v>
      </c>
      <c r="N5" s="43">
        <v>5.0000000000000001E-3</v>
      </c>
      <c r="O5" s="45"/>
    </row>
    <row r="6" spans="1:15" x14ac:dyDescent="0.25">
      <c r="A6" s="17" t="s">
        <v>1</v>
      </c>
      <c r="B6" s="17" t="s">
        <v>15</v>
      </c>
      <c r="C6" s="17">
        <v>-100000</v>
      </c>
      <c r="F6" s="17">
        <v>9000</v>
      </c>
      <c r="I6" s="17">
        <v>109000.00000000001</v>
      </c>
      <c r="K6" s="365"/>
      <c r="L6" s="43"/>
      <c r="M6" s="43"/>
      <c r="N6" s="43"/>
      <c r="O6" s="45"/>
    </row>
    <row r="7" spans="1:15" x14ac:dyDescent="0.25">
      <c r="A7" s="17" t="s">
        <v>5</v>
      </c>
      <c r="B7" s="17" t="s">
        <v>16</v>
      </c>
      <c r="C7" s="17">
        <v>200000</v>
      </c>
      <c r="F7" s="17">
        <v>-204500</v>
      </c>
      <c r="K7" s="47"/>
      <c r="L7" s="43"/>
      <c r="M7" s="43"/>
      <c r="N7" s="43"/>
      <c r="O7" s="45"/>
    </row>
    <row r="8" spans="1:15" x14ac:dyDescent="0.25">
      <c r="K8" s="47"/>
      <c r="L8" s="43"/>
      <c r="M8" s="43">
        <v>1</v>
      </c>
      <c r="N8" s="43">
        <v>2</v>
      </c>
      <c r="O8" s="45"/>
    </row>
    <row r="9" spans="1:15" x14ac:dyDescent="0.25">
      <c r="E9" s="17" t="s">
        <v>17</v>
      </c>
      <c r="F9" s="17">
        <f>F5+F6</f>
        <v>18000</v>
      </c>
      <c r="H9" s="17" t="s">
        <v>17</v>
      </c>
      <c r="I9" s="49">
        <f>I5+I6+C5+C6</f>
        <v>18000.000000000029</v>
      </c>
      <c r="K9" s="47" t="s">
        <v>10</v>
      </c>
      <c r="L9" s="43" t="s">
        <v>7</v>
      </c>
      <c r="M9" s="43">
        <f>M3</f>
        <v>0.02</v>
      </c>
      <c r="N9" s="43">
        <f>N3</f>
        <v>0.04</v>
      </c>
      <c r="O9" s="45"/>
    </row>
    <row r="10" spans="1:15" x14ac:dyDescent="0.25">
      <c r="E10" s="46" t="s">
        <v>18</v>
      </c>
      <c r="F10" s="46">
        <f>F7+C7</f>
        <v>-4500</v>
      </c>
      <c r="G10" s="46"/>
      <c r="H10" s="46" t="s">
        <v>18</v>
      </c>
      <c r="I10" s="46"/>
      <c r="J10" s="142" t="s">
        <v>20</v>
      </c>
      <c r="K10" s="47"/>
      <c r="L10" s="43"/>
      <c r="M10" s="43">
        <v>1</v>
      </c>
      <c r="N10" s="43">
        <v>2</v>
      </c>
      <c r="O10" s="45"/>
    </row>
    <row r="11" spans="1:15" x14ac:dyDescent="0.25">
      <c r="E11" s="49" t="s">
        <v>19</v>
      </c>
      <c r="F11" s="49">
        <f>F9+F10</f>
        <v>13500</v>
      </c>
      <c r="G11" s="63"/>
      <c r="H11" s="63" t="s">
        <v>19</v>
      </c>
      <c r="I11" s="63">
        <f>I9+I10</f>
        <v>18000.000000000029</v>
      </c>
      <c r="J11" s="142"/>
      <c r="K11" s="47"/>
      <c r="L11" s="43" t="s">
        <v>11</v>
      </c>
      <c r="M11" s="43">
        <f>M3+M4</f>
        <v>0.05</v>
      </c>
      <c r="N11" s="43">
        <f>N3+N4</f>
        <v>0.09</v>
      </c>
      <c r="O11" s="45"/>
    </row>
    <row r="12" spans="1:15" x14ac:dyDescent="0.25">
      <c r="K12" s="47"/>
      <c r="L12" s="43"/>
      <c r="M12" s="43">
        <v>1</v>
      </c>
      <c r="N12" s="43">
        <v>2</v>
      </c>
      <c r="O12" s="45"/>
    </row>
    <row r="13" spans="1:15" x14ac:dyDescent="0.25">
      <c r="E13" s="50" t="s">
        <v>5</v>
      </c>
      <c r="F13" s="17">
        <v>200000</v>
      </c>
      <c r="I13" s="17">
        <v>-200000</v>
      </c>
      <c r="K13" s="47"/>
      <c r="L13" s="43" t="s">
        <v>12</v>
      </c>
      <c r="M13" s="43">
        <f>M3+M5</f>
        <v>2.2499999999999999E-2</v>
      </c>
      <c r="N13" s="43">
        <f>N3+N5</f>
        <v>4.4999999999999998E-2</v>
      </c>
      <c r="O13" s="45"/>
    </row>
    <row r="14" spans="1:15" x14ac:dyDescent="0.25">
      <c r="C14" s="62">
        <f>F5*M18+I5*N18</f>
        <v>100000</v>
      </c>
      <c r="D14" s="62"/>
      <c r="I14" s="17">
        <f>C7*M13*-1</f>
        <v>-4500</v>
      </c>
      <c r="J14" s="17" t="s">
        <v>278</v>
      </c>
      <c r="K14" s="47"/>
      <c r="L14" s="43"/>
      <c r="M14" s="43"/>
      <c r="N14" s="43"/>
      <c r="O14" s="45"/>
    </row>
    <row r="15" spans="1:15" x14ac:dyDescent="0.25">
      <c r="C15" s="62">
        <f>F6*M18+I6*N18</f>
        <v>100000</v>
      </c>
      <c r="D15" s="62"/>
      <c r="E15" s="17" t="s">
        <v>24</v>
      </c>
      <c r="F15" s="266">
        <f>F11</f>
        <v>13500</v>
      </c>
      <c r="I15" s="266">
        <f>I9+I14</f>
        <v>13500.000000000029</v>
      </c>
      <c r="K15" s="47"/>
      <c r="L15" s="43"/>
      <c r="M15" s="43">
        <v>1</v>
      </c>
      <c r="N15" s="43">
        <v>2</v>
      </c>
      <c r="O15" s="45"/>
    </row>
    <row r="16" spans="1:15" ht="15" customHeight="1" x14ac:dyDescent="0.25">
      <c r="C16" s="64">
        <f>F7*M20</f>
        <v>-200000</v>
      </c>
      <c r="D16" s="62"/>
      <c r="G16" s="390" t="s">
        <v>279</v>
      </c>
      <c r="H16" s="390"/>
      <c r="I16" s="390"/>
      <c r="K16" s="47" t="s">
        <v>10</v>
      </c>
      <c r="L16" s="43" t="s">
        <v>7</v>
      </c>
      <c r="M16" s="43">
        <f>(1/(1+M9))</f>
        <v>0.98039215686274506</v>
      </c>
      <c r="N16" s="43">
        <f>(1-N9*SUM($M16:M$16))/(1+N9)</f>
        <v>0.92383107088989447</v>
      </c>
      <c r="O16" s="45"/>
    </row>
    <row r="17" spans="1:18" x14ac:dyDescent="0.25">
      <c r="B17" s="267" t="s">
        <v>21</v>
      </c>
      <c r="C17" s="268">
        <f>SUM(C14:C16)</f>
        <v>0</v>
      </c>
      <c r="D17" s="62"/>
      <c r="G17" s="390"/>
      <c r="H17" s="390"/>
      <c r="I17" s="390"/>
      <c r="K17" s="47"/>
      <c r="L17" s="43"/>
      <c r="M17" s="43">
        <v>1</v>
      </c>
      <c r="N17" s="43">
        <v>2</v>
      </c>
      <c r="O17" s="45"/>
    </row>
    <row r="18" spans="1:18" x14ac:dyDescent="0.25">
      <c r="B18" s="50" t="s">
        <v>22</v>
      </c>
      <c r="C18" s="66">
        <v>1</v>
      </c>
      <c r="D18" s="66">
        <v>2</v>
      </c>
      <c r="G18" s="390"/>
      <c r="H18" s="390"/>
      <c r="I18" s="390"/>
      <c r="K18" s="47"/>
      <c r="L18" s="43" t="s">
        <v>11</v>
      </c>
      <c r="M18" s="43">
        <f t="shared" ref="M18" si="0">(1/(1+M11))</f>
        <v>0.95238095238095233</v>
      </c>
      <c r="N18" s="43">
        <f>(1-N11*SUM($M18:M$18))/(1+N11)</f>
        <v>0.83879423328964609</v>
      </c>
      <c r="O18" s="45"/>
    </row>
    <row r="19" spans="1:18" x14ac:dyDescent="0.25">
      <c r="B19" s="50" t="s">
        <v>1</v>
      </c>
      <c r="C19" s="68">
        <v>0</v>
      </c>
      <c r="D19" s="68">
        <v>-35.820217454922386</v>
      </c>
      <c r="G19" s="390"/>
      <c r="H19" s="390"/>
      <c r="I19" s="390"/>
      <c r="K19" s="47"/>
      <c r="L19" s="43"/>
      <c r="M19" s="43">
        <v>1</v>
      </c>
      <c r="N19" s="43">
        <v>2</v>
      </c>
      <c r="O19" s="45"/>
    </row>
    <row r="20" spans="1:18" ht="14.4" thickBot="1" x14ac:dyDescent="0.3">
      <c r="B20" s="50" t="s">
        <v>23</v>
      </c>
      <c r="C20" s="68">
        <v>19.557989438675577</v>
      </c>
      <c r="D20" s="68">
        <v>0</v>
      </c>
      <c r="K20" s="69"/>
      <c r="L20" s="70" t="s">
        <v>12</v>
      </c>
      <c r="M20" s="70">
        <f>(1/(1+M13))</f>
        <v>0.97799511002444994</v>
      </c>
      <c r="N20" s="70">
        <f>(1-N13*SUM($M20:M$20))/(1+N13)</f>
        <v>0.91482317708028693</v>
      </c>
      <c r="O20" s="71"/>
    </row>
    <row r="22" spans="1:18" ht="14.4" thickBot="1" x14ac:dyDescent="0.3"/>
    <row r="23" spans="1:18" x14ac:dyDescent="0.25">
      <c r="A23" s="391" t="s">
        <v>331</v>
      </c>
      <c r="B23" s="391"/>
      <c r="C23" s="391"/>
      <c r="D23" s="391"/>
      <c r="E23" s="391"/>
      <c r="F23" s="391"/>
      <c r="G23" s="391"/>
      <c r="H23" s="391"/>
      <c r="I23" s="391"/>
      <c r="J23" s="392"/>
      <c r="K23" s="39"/>
      <c r="L23" s="41" t="s">
        <v>6</v>
      </c>
      <c r="M23" s="41">
        <v>1</v>
      </c>
      <c r="N23" s="41">
        <v>2</v>
      </c>
      <c r="O23" s="42"/>
    </row>
    <row r="24" spans="1:18" x14ac:dyDescent="0.25">
      <c r="A24" s="17" t="s">
        <v>0</v>
      </c>
      <c r="B24" s="17" t="s">
        <v>13</v>
      </c>
      <c r="C24" s="17" t="s">
        <v>2</v>
      </c>
      <c r="F24" s="17" t="s">
        <v>3</v>
      </c>
      <c r="I24" s="17" t="s">
        <v>4</v>
      </c>
      <c r="K24" s="365" t="s">
        <v>3</v>
      </c>
      <c r="L24" s="43" t="s">
        <v>7</v>
      </c>
      <c r="M24" s="43">
        <f>$M$3+P24</f>
        <v>0.04</v>
      </c>
      <c r="N24" s="43">
        <f>$N$3+Q24</f>
        <v>0.06</v>
      </c>
      <c r="O24" s="45"/>
      <c r="P24" s="17">
        <v>0.02</v>
      </c>
      <c r="Q24" s="17">
        <v>0.02</v>
      </c>
      <c r="R24" s="17" t="s">
        <v>70</v>
      </c>
    </row>
    <row r="25" spans="1:18" x14ac:dyDescent="0.25">
      <c r="K25" s="365"/>
      <c r="L25" s="43" t="s">
        <v>8</v>
      </c>
      <c r="M25" s="43">
        <f>$M$4+P25</f>
        <v>0.06</v>
      </c>
      <c r="N25" s="43">
        <f>$N$4+Q25</f>
        <v>0.08</v>
      </c>
      <c r="O25" s="45"/>
      <c r="P25" s="17">
        <v>0.03</v>
      </c>
      <c r="Q25" s="17">
        <v>0.03</v>
      </c>
      <c r="R25" s="17" t="s">
        <v>69</v>
      </c>
    </row>
    <row r="26" spans="1:18" x14ac:dyDescent="0.25">
      <c r="A26" s="17" t="s">
        <v>1</v>
      </c>
      <c r="B26" s="17" t="s">
        <v>14</v>
      </c>
      <c r="C26" s="17">
        <v>-100000</v>
      </c>
      <c r="F26" s="17">
        <v>9000</v>
      </c>
      <c r="I26" s="17">
        <v>109000.00000000001</v>
      </c>
      <c r="K26" s="365"/>
      <c r="L26" s="43" t="s">
        <v>9</v>
      </c>
      <c r="M26" s="43">
        <f>$M$5+P26</f>
        <v>7.4999999999999997E-3</v>
      </c>
      <c r="N26" s="43">
        <f>$N$5+Q26</f>
        <v>0.01</v>
      </c>
      <c r="O26" s="45"/>
      <c r="P26" s="17">
        <v>5.0000000000000001E-3</v>
      </c>
      <c r="Q26" s="17">
        <v>5.0000000000000001E-3</v>
      </c>
      <c r="R26" s="17" t="s">
        <v>74</v>
      </c>
    </row>
    <row r="27" spans="1:18" x14ac:dyDescent="0.25">
      <c r="A27" s="17" t="s">
        <v>1</v>
      </c>
      <c r="B27" s="17" t="s">
        <v>15</v>
      </c>
      <c r="C27" s="17">
        <v>-100000</v>
      </c>
      <c r="F27" s="17">
        <v>9000</v>
      </c>
      <c r="I27" s="17">
        <v>109000.00000000001</v>
      </c>
      <c r="K27" s="365"/>
      <c r="L27" s="43"/>
      <c r="M27" s="43"/>
      <c r="N27" s="43"/>
      <c r="O27" s="45"/>
    </row>
    <row r="28" spans="1:18" x14ac:dyDescent="0.25">
      <c r="A28" s="17" t="s">
        <v>5</v>
      </c>
      <c r="B28" s="17" t="s">
        <v>16</v>
      </c>
      <c r="C28" s="17">
        <v>200000</v>
      </c>
      <c r="F28" s="17">
        <v>-204500</v>
      </c>
      <c r="K28" s="47"/>
      <c r="L28" s="43"/>
      <c r="M28" s="43"/>
      <c r="N28" s="43"/>
      <c r="O28" s="45"/>
    </row>
    <row r="29" spans="1:18" x14ac:dyDescent="0.25">
      <c r="K29" s="47"/>
      <c r="L29" s="43"/>
      <c r="M29" s="43">
        <v>1</v>
      </c>
      <c r="N29" s="43">
        <v>2</v>
      </c>
      <c r="O29" s="45"/>
    </row>
    <row r="30" spans="1:18" x14ac:dyDescent="0.25">
      <c r="E30" s="17" t="s">
        <v>17</v>
      </c>
      <c r="F30" s="17">
        <f>F26+F27</f>
        <v>18000</v>
      </c>
      <c r="H30" s="17" t="s">
        <v>17</v>
      </c>
      <c r="I30" s="17">
        <f>I26+I27+C26+C27</f>
        <v>18000.000000000029</v>
      </c>
      <c r="K30" s="47" t="s">
        <v>10</v>
      </c>
      <c r="L30" s="43" t="s">
        <v>7</v>
      </c>
      <c r="M30" s="43">
        <f>M24</f>
        <v>0.04</v>
      </c>
      <c r="N30" s="43">
        <f>N24</f>
        <v>0.06</v>
      </c>
      <c r="O30" s="45"/>
    </row>
    <row r="31" spans="1:18" x14ac:dyDescent="0.25">
      <c r="E31" s="46" t="s">
        <v>18</v>
      </c>
      <c r="F31" s="46">
        <f>F28+C28</f>
        <v>-4500</v>
      </c>
      <c r="G31" s="46"/>
      <c r="H31" s="46" t="s">
        <v>18</v>
      </c>
      <c r="I31" s="46"/>
      <c r="J31" s="17" t="s">
        <v>20</v>
      </c>
      <c r="K31" s="47"/>
      <c r="L31" s="43"/>
      <c r="M31" s="43">
        <v>1</v>
      </c>
      <c r="N31" s="43">
        <v>2</v>
      </c>
      <c r="O31" s="45"/>
    </row>
    <row r="32" spans="1:18" x14ac:dyDescent="0.25">
      <c r="E32" s="49" t="s">
        <v>19</v>
      </c>
      <c r="F32" s="49">
        <f>F30+F31</f>
        <v>13500</v>
      </c>
      <c r="G32" s="49"/>
      <c r="H32" s="49" t="s">
        <v>19</v>
      </c>
      <c r="I32" s="49">
        <f>I30+I31</f>
        <v>18000.000000000029</v>
      </c>
      <c r="K32" s="47"/>
      <c r="L32" s="43" t="s">
        <v>11</v>
      </c>
      <c r="M32" s="43">
        <f>M24+M25</f>
        <v>0.1</v>
      </c>
      <c r="N32" s="43">
        <f>N24+N25</f>
        <v>0.14000000000000001</v>
      </c>
      <c r="O32" s="45"/>
    </row>
    <row r="33" spans="2:15" x14ac:dyDescent="0.25">
      <c r="K33" s="47"/>
      <c r="L33" s="43"/>
      <c r="M33" s="43">
        <v>1</v>
      </c>
      <c r="N33" s="43">
        <v>2</v>
      </c>
      <c r="O33" s="45"/>
    </row>
    <row r="34" spans="2:15" x14ac:dyDescent="0.25">
      <c r="E34" s="50" t="s">
        <v>5</v>
      </c>
      <c r="F34" s="17">
        <v>200000</v>
      </c>
      <c r="I34" s="17">
        <v>-200000</v>
      </c>
      <c r="K34" s="47"/>
      <c r="L34" s="43" t="s">
        <v>12</v>
      </c>
      <c r="M34" s="43">
        <f>M24+M26</f>
        <v>4.7500000000000001E-2</v>
      </c>
      <c r="N34" s="43">
        <f>N24+N26</f>
        <v>6.9999999999999993E-2</v>
      </c>
      <c r="O34" s="45"/>
    </row>
    <row r="35" spans="2:15" x14ac:dyDescent="0.25">
      <c r="C35" s="62">
        <f>F26*M39+I26*N39</f>
        <v>91626.794258373193</v>
      </c>
      <c r="D35" s="65">
        <f>C35-C14</f>
        <v>-8373.2057416268071</v>
      </c>
      <c r="I35" s="17">
        <f>C28*M34*-1</f>
        <v>-9500</v>
      </c>
      <c r="J35" s="17" t="s">
        <v>278</v>
      </c>
      <c r="K35" s="47"/>
      <c r="L35" s="43"/>
      <c r="M35" s="43"/>
      <c r="N35" s="43"/>
      <c r="O35" s="45"/>
    </row>
    <row r="36" spans="2:15" x14ac:dyDescent="0.25">
      <c r="C36" s="62">
        <f>F27*M39+I27*N39</f>
        <v>91626.794258373193</v>
      </c>
      <c r="D36" s="65">
        <f t="shared" ref="D36:D37" si="1">C36-C15</f>
        <v>-8373.2057416268071</v>
      </c>
      <c r="E36" s="17" t="s">
        <v>24</v>
      </c>
      <c r="F36" s="266">
        <f>F32</f>
        <v>13500</v>
      </c>
      <c r="I36" s="266">
        <f>I30+I35</f>
        <v>8500.0000000000291</v>
      </c>
      <c r="K36" s="47"/>
      <c r="L36" s="43"/>
      <c r="M36" s="43">
        <v>1</v>
      </c>
      <c r="N36" s="43">
        <v>2</v>
      </c>
      <c r="O36" s="45"/>
    </row>
    <row r="37" spans="2:15" x14ac:dyDescent="0.25">
      <c r="C37" s="64">
        <f>F28*M41</f>
        <v>-195226.73031026253</v>
      </c>
      <c r="D37" s="65">
        <f t="shared" si="1"/>
        <v>4773.2696897374699</v>
      </c>
      <c r="G37" s="390" t="s">
        <v>279</v>
      </c>
      <c r="H37" s="390"/>
      <c r="I37" s="390"/>
      <c r="K37" s="47" t="s">
        <v>10</v>
      </c>
      <c r="L37" s="43" t="s">
        <v>7</v>
      </c>
      <c r="M37" s="43">
        <f>(1/(1+M30))</f>
        <v>0.96153846153846145</v>
      </c>
      <c r="N37" s="43">
        <f>(1-N30*SUM($M$37:M37))/(1+N30)</f>
        <v>0.88896952104499272</v>
      </c>
      <c r="O37" s="45"/>
    </row>
    <row r="38" spans="2:15" x14ac:dyDescent="0.25">
      <c r="B38" s="267" t="s">
        <v>21</v>
      </c>
      <c r="C38" s="268">
        <f>SUM(C35:C37)</f>
        <v>-11973.141793516144</v>
      </c>
      <c r="D38" s="65">
        <f>SUM(D35:D37)</f>
        <v>-11973.141793516144</v>
      </c>
      <c r="E38" s="17">
        <v>-12909.4810276181</v>
      </c>
      <c r="G38" s="390"/>
      <c r="H38" s="390"/>
      <c r="I38" s="390"/>
      <c r="K38" s="47"/>
      <c r="L38" s="43"/>
      <c r="M38" s="43">
        <v>1</v>
      </c>
      <c r="N38" s="43">
        <v>2</v>
      </c>
      <c r="O38" s="45"/>
    </row>
    <row r="39" spans="2:15" x14ac:dyDescent="0.25">
      <c r="B39" s="50" t="s">
        <v>22</v>
      </c>
      <c r="C39" s="66">
        <v>1</v>
      </c>
      <c r="D39" s="66">
        <v>2</v>
      </c>
      <c r="G39" s="390"/>
      <c r="H39" s="390"/>
      <c r="I39" s="390"/>
      <c r="K39" s="47"/>
      <c r="L39" s="43" t="s">
        <v>11</v>
      </c>
      <c r="M39" s="43">
        <f t="shared" ref="M39:M41" si="2">(1/(1+M32))</f>
        <v>0.90909090909090906</v>
      </c>
      <c r="N39" s="43">
        <f>(1-N32*SUM($M$39:M39))/(1+N32)</f>
        <v>0.76555023923444965</v>
      </c>
      <c r="O39" s="45"/>
    </row>
    <row r="40" spans="2:15" x14ac:dyDescent="0.25">
      <c r="B40" s="50" t="s">
        <v>1</v>
      </c>
      <c r="C40" s="68">
        <v>0.72488697926746681</v>
      </c>
      <c r="D40" s="68">
        <v>-32.02103064066614</v>
      </c>
      <c r="E40" s="67">
        <f>D38-E38</f>
        <v>936.3392341019553</v>
      </c>
      <c r="G40" s="390"/>
      <c r="H40" s="390"/>
      <c r="I40" s="390"/>
      <c r="K40" s="47"/>
      <c r="L40" s="43"/>
      <c r="M40" s="43">
        <v>1</v>
      </c>
      <c r="N40" s="43">
        <v>2</v>
      </c>
      <c r="O40" s="45"/>
    </row>
    <row r="41" spans="2:15" ht="14.4" thickBot="1" x14ac:dyDescent="0.3">
      <c r="B41" s="50" t="s">
        <v>23</v>
      </c>
      <c r="C41" s="68">
        <v>18.81479661850608</v>
      </c>
      <c r="D41" s="68">
        <v>0</v>
      </c>
      <c r="K41" s="69"/>
      <c r="L41" s="70" t="s">
        <v>12</v>
      </c>
      <c r="M41" s="70">
        <f t="shared" si="2"/>
        <v>0.95465393794749398</v>
      </c>
      <c r="N41" s="70">
        <f>(1-N34*SUM($M$41:M41))/(1+N34)</f>
        <v>0.87212544331184616</v>
      </c>
      <c r="O41" s="71"/>
    </row>
    <row r="44" spans="2:15" x14ac:dyDescent="0.25">
      <c r="C44" s="63"/>
      <c r="D44" s="63"/>
    </row>
    <row r="45" spans="2:15" x14ac:dyDescent="0.25">
      <c r="C45" s="63"/>
      <c r="D45" s="269"/>
    </row>
    <row r="46" spans="2:15" x14ac:dyDescent="0.25">
      <c r="D46" s="394" t="s">
        <v>60</v>
      </c>
      <c r="E46" s="395"/>
      <c r="G46" s="394" t="s">
        <v>61</v>
      </c>
      <c r="H46" s="395"/>
    </row>
    <row r="47" spans="2:15" ht="41.4" x14ac:dyDescent="0.25">
      <c r="D47" s="306" t="str">
        <f>A2</f>
        <v>Basisszenario Earnings Simulation</v>
      </c>
      <c r="E47" s="306" t="str">
        <f>A23</f>
        <v>Stressszenario Earnings Simulation</v>
      </c>
      <c r="G47" s="306" t="str">
        <f>D47</f>
        <v>Basisszenario Earnings Simulation</v>
      </c>
      <c r="H47" s="306" t="str">
        <f>E47</f>
        <v>Stressszenario Earnings Simulation</v>
      </c>
    </row>
    <row r="48" spans="2:15" ht="14.4" thickBot="1" x14ac:dyDescent="0.3">
      <c r="D48" s="271" t="s">
        <v>281</v>
      </c>
      <c r="E48" s="271" t="s">
        <v>282</v>
      </c>
      <c r="G48" s="271" t="s">
        <v>281</v>
      </c>
      <c r="H48" s="271" t="s">
        <v>282</v>
      </c>
      <c r="J48" s="17" t="s">
        <v>30</v>
      </c>
    </row>
    <row r="49" spans="1:11" ht="14.4" thickBot="1" x14ac:dyDescent="0.3">
      <c r="C49" s="272" t="s">
        <v>27</v>
      </c>
      <c r="D49" s="273">
        <f>SUM(D50:D52)</f>
        <v>17309.523809523816</v>
      </c>
      <c r="E49" s="273">
        <f>SUM(E50:E52)</f>
        <v>12590.909090909103</v>
      </c>
      <c r="F49" s="274"/>
      <c r="G49" s="273">
        <f>SUM(G50:G52)</f>
        <v>9690.4761904762127</v>
      </c>
      <c r="H49" s="275">
        <f>SUM(H50:H52)</f>
        <v>9409.0909090909263</v>
      </c>
      <c r="J49" s="17" t="s">
        <v>30</v>
      </c>
    </row>
    <row r="50" spans="1:11" x14ac:dyDescent="0.25">
      <c r="C50" s="17" t="s">
        <v>24</v>
      </c>
      <c r="D50" s="276">
        <f>F15</f>
        <v>13500</v>
      </c>
      <c r="E50" s="276">
        <f>F36</f>
        <v>13500</v>
      </c>
      <c r="F50" s="67"/>
      <c r="G50" s="276">
        <f>I15</f>
        <v>13500.000000000029</v>
      </c>
      <c r="H50" s="276">
        <f>I36</f>
        <v>8500.0000000000291</v>
      </c>
      <c r="J50" s="17" t="s">
        <v>30</v>
      </c>
    </row>
    <row r="51" spans="1:11" x14ac:dyDescent="0.25">
      <c r="C51" s="17" t="s">
        <v>283</v>
      </c>
      <c r="D51" s="276">
        <v>0</v>
      </c>
      <c r="E51" s="276">
        <f>D35</f>
        <v>-8373.2057416268071</v>
      </c>
      <c r="F51" s="67"/>
      <c r="G51" s="276">
        <v>0</v>
      </c>
      <c r="H51" s="276">
        <f>G35</f>
        <v>0</v>
      </c>
      <c r="J51" s="17" t="s">
        <v>30</v>
      </c>
    </row>
    <row r="52" spans="1:11" x14ac:dyDescent="0.25">
      <c r="C52" s="17" t="s">
        <v>284</v>
      </c>
      <c r="D52" s="277">
        <f>I5*M18-C15</f>
        <v>3809.5238095238165</v>
      </c>
      <c r="E52" s="277">
        <f>I26*M39-C35</f>
        <v>7464.11483253591</v>
      </c>
      <c r="F52" s="67"/>
      <c r="G52" s="277">
        <f>100000-I5*M18</f>
        <v>-3809.5238095238165</v>
      </c>
      <c r="H52" s="277">
        <f>100000-I26*M39</f>
        <v>909.09090909089718</v>
      </c>
      <c r="J52" s="17" t="s">
        <v>30</v>
      </c>
    </row>
    <row r="54" spans="1:11" ht="14.4" thickBot="1" x14ac:dyDescent="0.3"/>
    <row r="55" spans="1:11" ht="14.4" thickBot="1" x14ac:dyDescent="0.3">
      <c r="D55" s="278" t="s">
        <v>29</v>
      </c>
      <c r="E55" s="279">
        <f>SUM(E56:E58)</f>
        <v>-4718.6147186147136</v>
      </c>
      <c r="G55" s="278" t="s">
        <v>29</v>
      </c>
      <c r="H55" s="279">
        <f>SUM(H56:H58)</f>
        <v>-281.38528138528636</v>
      </c>
      <c r="I55" s="75" t="s">
        <v>31</v>
      </c>
    </row>
    <row r="56" spans="1:11" x14ac:dyDescent="0.25">
      <c r="D56" s="17" t="s">
        <v>25</v>
      </c>
      <c r="E56" s="280">
        <f>E50-D50</f>
        <v>0</v>
      </c>
      <c r="G56" s="17" t="s">
        <v>25</v>
      </c>
      <c r="H56" s="280">
        <f>H50-G50</f>
        <v>-5000</v>
      </c>
    </row>
    <row r="57" spans="1:11" x14ac:dyDescent="0.25">
      <c r="D57" s="17" t="s">
        <v>285</v>
      </c>
      <c r="E57" s="276">
        <f>E51-D51</f>
        <v>-8373.2057416268071</v>
      </c>
      <c r="G57" s="17" t="s">
        <v>285</v>
      </c>
      <c r="H57" s="276">
        <f>H51-G51</f>
        <v>0</v>
      </c>
    </row>
    <row r="58" spans="1:11" x14ac:dyDescent="0.25">
      <c r="D58" s="17" t="s">
        <v>286</v>
      </c>
      <c r="E58" s="277">
        <f>E52-D52</f>
        <v>3654.5910230120935</v>
      </c>
      <c r="G58" s="17" t="s">
        <v>286</v>
      </c>
      <c r="H58" s="277">
        <f>H52-G52</f>
        <v>4718.6147186147136</v>
      </c>
    </row>
    <row r="60" spans="1:11" s="282" customFormat="1" x14ac:dyDescent="0.25">
      <c r="A60" s="281" t="s">
        <v>287</v>
      </c>
      <c r="B60" s="281"/>
      <c r="C60" s="281"/>
      <c r="D60" s="281"/>
      <c r="E60" s="281"/>
      <c r="F60" s="281"/>
      <c r="G60" s="281"/>
      <c r="H60" s="281"/>
      <c r="K60" s="340"/>
    </row>
    <row r="61" spans="1:11" x14ac:dyDescent="0.25">
      <c r="A61" s="50" t="str">
        <f>A3</f>
        <v>Exposure</v>
      </c>
      <c r="B61" s="50" t="str">
        <f>B3</f>
        <v>Geschäftsmodell</v>
      </c>
      <c r="C61" s="17" t="s">
        <v>288</v>
      </c>
      <c r="D61" s="17" t="s">
        <v>2</v>
      </c>
      <c r="F61" s="17" t="s">
        <v>3</v>
      </c>
      <c r="H61" s="17" t="s">
        <v>4</v>
      </c>
    </row>
    <row r="62" spans="1:11" x14ac:dyDescent="0.25">
      <c r="A62" s="50" t="str">
        <f>A5</f>
        <v>Bond-BB</v>
      </c>
      <c r="B62" s="50" t="str">
        <f>B5</f>
        <v>FVPL - HFT</v>
      </c>
      <c r="C62" s="283" t="s">
        <v>289</v>
      </c>
      <c r="D62" s="284">
        <f>C14</f>
        <v>100000</v>
      </c>
      <c r="E62" s="285"/>
      <c r="F62" s="285">
        <f>F63</f>
        <v>103809.52380952382</v>
      </c>
      <c r="G62" s="285"/>
      <c r="H62" s="286"/>
    </row>
    <row r="63" spans="1:11" x14ac:dyDescent="0.25">
      <c r="C63" s="145" t="s">
        <v>290</v>
      </c>
      <c r="D63" s="287">
        <f>D62</f>
        <v>100000</v>
      </c>
      <c r="E63" s="43"/>
      <c r="F63" s="43">
        <f>I5*M18</f>
        <v>103809.52380952382</v>
      </c>
      <c r="G63" s="43"/>
      <c r="H63" s="288">
        <f>D62</f>
        <v>100000</v>
      </c>
    </row>
    <row r="64" spans="1:11" x14ac:dyDescent="0.25">
      <c r="C64" s="145"/>
      <c r="D64" s="287"/>
      <c r="E64" s="43"/>
      <c r="F64" s="43"/>
      <c r="G64" s="43"/>
      <c r="H64" s="288"/>
    </row>
    <row r="65" spans="1:34" x14ac:dyDescent="0.25">
      <c r="C65" s="283" t="s">
        <v>285</v>
      </c>
      <c r="F65" s="284">
        <f>D63-D62</f>
        <v>0</v>
      </c>
      <c r="H65" s="289">
        <f>F63-F62</f>
        <v>0</v>
      </c>
    </row>
    <row r="66" spans="1:34" x14ac:dyDescent="0.25">
      <c r="C66" s="148" t="s">
        <v>286</v>
      </c>
      <c r="F66" s="291">
        <f>F63-D63</f>
        <v>3809.5238095238165</v>
      </c>
      <c r="H66" s="292">
        <f>H63-F63</f>
        <v>-3809.5238095238165</v>
      </c>
    </row>
    <row r="67" spans="1:34" x14ac:dyDescent="0.25">
      <c r="C67" s="283" t="s">
        <v>289</v>
      </c>
      <c r="D67" s="284">
        <f>D62</f>
        <v>100000</v>
      </c>
      <c r="E67" s="285"/>
      <c r="F67" s="285">
        <f>F68</f>
        <v>99090.909090909103</v>
      </c>
      <c r="G67" s="285"/>
      <c r="H67" s="286"/>
    </row>
    <row r="68" spans="1:34" x14ac:dyDescent="0.25">
      <c r="C68" s="145" t="s">
        <v>291</v>
      </c>
      <c r="D68" s="287">
        <f>C35</f>
        <v>91626.794258373193</v>
      </c>
      <c r="E68" s="43"/>
      <c r="F68" s="43">
        <f>I26*M39</f>
        <v>99090.909090909103</v>
      </c>
      <c r="G68" s="43"/>
      <c r="H68" s="288">
        <f>D62</f>
        <v>100000</v>
      </c>
    </row>
    <row r="69" spans="1:34" x14ac:dyDescent="0.25">
      <c r="C69" s="145"/>
      <c r="D69" s="287"/>
      <c r="E69" s="43"/>
      <c r="F69" s="43"/>
      <c r="G69" s="43"/>
      <c r="H69" s="293"/>
    </row>
    <row r="70" spans="1:34" x14ac:dyDescent="0.25">
      <c r="C70" s="283" t="s">
        <v>285</v>
      </c>
      <c r="F70" s="284">
        <f>D68-D67</f>
        <v>-8373.2057416268071</v>
      </c>
      <c r="H70" s="289">
        <f>F68-F67</f>
        <v>0</v>
      </c>
    </row>
    <row r="71" spans="1:34" x14ac:dyDescent="0.25">
      <c r="C71" s="148" t="s">
        <v>286</v>
      </c>
      <c r="D71" s="46"/>
      <c r="E71" s="46"/>
      <c r="F71" s="291">
        <f>F68-D68</f>
        <v>7464.11483253591</v>
      </c>
      <c r="G71" s="46"/>
      <c r="H71" s="292">
        <f>H68-F68</f>
        <v>909.09090909089718</v>
      </c>
    </row>
    <row r="73" spans="1:34" ht="14.4" thickBot="1" x14ac:dyDescent="0.3">
      <c r="K73" s="387" t="s">
        <v>292</v>
      </c>
      <c r="L73" s="387"/>
      <c r="M73" s="387"/>
      <c r="N73" s="387"/>
      <c r="O73" s="387"/>
      <c r="S73" s="387" t="s">
        <v>293</v>
      </c>
      <c r="T73" s="387"/>
      <c r="U73" s="387"/>
      <c r="V73" s="387"/>
      <c r="W73" s="387"/>
      <c r="AA73" s="387" t="s">
        <v>294</v>
      </c>
      <c r="AB73" s="387"/>
      <c r="AC73" s="387"/>
      <c r="AD73" s="387"/>
      <c r="AE73" s="387"/>
    </row>
    <row r="74" spans="1:34" s="282" customFormat="1" x14ac:dyDescent="0.25">
      <c r="A74" s="281" t="s">
        <v>295</v>
      </c>
      <c r="B74" s="281"/>
      <c r="C74" s="281"/>
      <c r="D74" s="281"/>
      <c r="E74" s="281"/>
      <c r="F74" s="281"/>
      <c r="G74" s="281"/>
      <c r="H74" s="281"/>
      <c r="K74" s="39"/>
      <c r="L74" s="41" t="s">
        <v>6</v>
      </c>
      <c r="M74" s="41">
        <v>1</v>
      </c>
      <c r="N74" s="41">
        <v>2</v>
      </c>
      <c r="O74" s="42"/>
      <c r="P74" s="17"/>
      <c r="Q74" s="17"/>
      <c r="R74" s="17"/>
      <c r="S74" s="39"/>
      <c r="T74" s="41" t="s">
        <v>6</v>
      </c>
      <c r="U74" s="41">
        <v>1</v>
      </c>
      <c r="V74" s="41">
        <v>2</v>
      </c>
      <c r="W74" s="42"/>
      <c r="X74" s="17"/>
      <c r="Y74" s="17"/>
      <c r="AA74" s="39"/>
      <c r="AB74" s="41" t="s">
        <v>6</v>
      </c>
      <c r="AC74" s="41">
        <v>1</v>
      </c>
      <c r="AD74" s="41">
        <v>2</v>
      </c>
      <c r="AE74" s="42"/>
      <c r="AF74" s="17"/>
      <c r="AG74" s="17"/>
    </row>
    <row r="75" spans="1:34" x14ac:dyDescent="0.25">
      <c r="K75" s="365" t="s">
        <v>3</v>
      </c>
      <c r="L75" s="43" t="s">
        <v>7</v>
      </c>
      <c r="M75" s="43">
        <f>$M$3+P75</f>
        <v>0.04</v>
      </c>
      <c r="N75" s="43">
        <f>$N$3+Q75</f>
        <v>0.06</v>
      </c>
      <c r="O75" s="45"/>
      <c r="P75" s="17">
        <v>0.02</v>
      </c>
      <c r="Q75" s="17">
        <v>0.02</v>
      </c>
      <c r="R75" s="17" t="s">
        <v>70</v>
      </c>
      <c r="S75" s="365" t="s">
        <v>3</v>
      </c>
      <c r="T75" s="43" t="s">
        <v>7</v>
      </c>
      <c r="U75" s="43">
        <f>$M$3+X75</f>
        <v>0.04</v>
      </c>
      <c r="V75" s="43">
        <f>$N$3+Y75</f>
        <v>0.06</v>
      </c>
      <c r="W75" s="45"/>
      <c r="X75" s="17">
        <v>0.02</v>
      </c>
      <c r="Y75" s="17">
        <v>0.02</v>
      </c>
      <c r="Z75" s="17" t="s">
        <v>70</v>
      </c>
      <c r="AA75" s="365" t="s">
        <v>3</v>
      </c>
      <c r="AB75" s="43" t="s">
        <v>7</v>
      </c>
      <c r="AC75" s="43">
        <f>$M$3+AF75</f>
        <v>0.02</v>
      </c>
      <c r="AD75" s="43">
        <f>$N$3+AG75</f>
        <v>0.04</v>
      </c>
      <c r="AE75" s="45"/>
    </row>
    <row r="76" spans="1:34" x14ac:dyDescent="0.25">
      <c r="E76" s="43" t="s">
        <v>60</v>
      </c>
      <c r="F76" s="43"/>
      <c r="G76" s="43" t="s">
        <v>61</v>
      </c>
      <c r="K76" s="365"/>
      <c r="L76" s="43" t="s">
        <v>8</v>
      </c>
      <c r="M76" s="43">
        <f>$M$4+P76</f>
        <v>0.06</v>
      </c>
      <c r="N76" s="43">
        <f>$N$4+Q76</f>
        <v>0.08</v>
      </c>
      <c r="O76" s="45"/>
      <c r="P76" s="17">
        <v>0.03</v>
      </c>
      <c r="Q76" s="17">
        <v>0.03</v>
      </c>
      <c r="R76" s="17" t="s">
        <v>69</v>
      </c>
      <c r="S76" s="365"/>
      <c r="T76" s="43" t="s">
        <v>8</v>
      </c>
      <c r="U76" s="43">
        <f>$M$4+X76</f>
        <v>0.03</v>
      </c>
      <c r="V76" s="43">
        <f>$N$4+Y76</f>
        <v>0.05</v>
      </c>
      <c r="W76" s="45"/>
      <c r="AA76" s="365"/>
      <c r="AB76" s="43" t="s">
        <v>8</v>
      </c>
      <c r="AC76" s="43">
        <f>$M$4+AF76</f>
        <v>0.06</v>
      </c>
      <c r="AD76" s="43">
        <f>$N$4+AG76</f>
        <v>0.08</v>
      </c>
      <c r="AE76" s="45"/>
      <c r="AF76" s="17">
        <v>0.03</v>
      </c>
      <c r="AG76" s="17">
        <v>0.03</v>
      </c>
      <c r="AH76" s="17" t="s">
        <v>69</v>
      </c>
    </row>
    <row r="77" spans="1:34" x14ac:dyDescent="0.25">
      <c r="C77" s="35" t="s">
        <v>296</v>
      </c>
      <c r="D77" s="35"/>
      <c r="E77" s="294">
        <f>E55</f>
        <v>-4718.6147186147136</v>
      </c>
      <c r="F77" s="35"/>
      <c r="G77" s="294">
        <f>H55</f>
        <v>-281.38528138528636</v>
      </c>
      <c r="K77" s="365"/>
      <c r="L77" s="43" t="s">
        <v>9</v>
      </c>
      <c r="M77" s="43">
        <f>$M$5+P77</f>
        <v>7.4999999999999997E-3</v>
      </c>
      <c r="N77" s="43">
        <f>$N$5+Q77</f>
        <v>0.01</v>
      </c>
      <c r="O77" s="45"/>
      <c r="P77" s="17">
        <v>5.0000000000000001E-3</v>
      </c>
      <c r="Q77" s="17">
        <v>5.0000000000000001E-3</v>
      </c>
      <c r="R77" s="17" t="s">
        <v>74</v>
      </c>
      <c r="S77" s="365"/>
      <c r="T77" s="43" t="s">
        <v>9</v>
      </c>
      <c r="U77" s="43">
        <f>$M$5+X77</f>
        <v>2.5000000000000001E-3</v>
      </c>
      <c r="V77" s="43">
        <f>$N$5+Y77</f>
        <v>5.0000000000000001E-3</v>
      </c>
      <c r="W77" s="45"/>
      <c r="AA77" s="365"/>
      <c r="AB77" s="43" t="s">
        <v>9</v>
      </c>
      <c r="AC77" s="43">
        <f>$M$5+AF77</f>
        <v>7.4999999999999997E-3</v>
      </c>
      <c r="AD77" s="43">
        <f>$N$5+AG77</f>
        <v>0.01</v>
      </c>
      <c r="AE77" s="45"/>
      <c r="AF77" s="17">
        <v>5.0000000000000001E-3</v>
      </c>
      <c r="AG77" s="17">
        <v>5.0000000000000001E-3</v>
      </c>
      <c r="AH77" s="17" t="s">
        <v>74</v>
      </c>
    </row>
    <row r="78" spans="1:34" x14ac:dyDescent="0.25">
      <c r="C78" s="46" t="s">
        <v>297</v>
      </c>
      <c r="D78" s="46"/>
      <c r="E78" s="291">
        <f>E86+E92</f>
        <v>-1940.3649310191249</v>
      </c>
      <c r="F78" s="46"/>
      <c r="G78" s="291">
        <f>G86+G92</f>
        <v>-2059.6350689808751</v>
      </c>
      <c r="K78" s="47"/>
      <c r="L78" s="43"/>
      <c r="M78" s="43">
        <v>1</v>
      </c>
      <c r="N78" s="43">
        <v>2</v>
      </c>
      <c r="O78" s="45"/>
      <c r="S78" s="47"/>
      <c r="T78" s="43"/>
      <c r="U78" s="43">
        <v>1</v>
      </c>
      <c r="V78" s="43">
        <v>2</v>
      </c>
      <c r="W78" s="45"/>
      <c r="AA78" s="47"/>
      <c r="AB78" s="43"/>
      <c r="AC78" s="43">
        <v>1</v>
      </c>
      <c r="AD78" s="43">
        <v>2</v>
      </c>
      <c r="AE78" s="45"/>
    </row>
    <row r="79" spans="1:34" x14ac:dyDescent="0.25">
      <c r="C79" s="17" t="s">
        <v>298</v>
      </c>
      <c r="E79" s="67"/>
      <c r="F79" s="67"/>
      <c r="G79" s="67"/>
      <c r="K79" s="47" t="s">
        <v>10</v>
      </c>
      <c r="L79" s="43" t="s">
        <v>7</v>
      </c>
      <c r="M79" s="43">
        <f>M75</f>
        <v>0.04</v>
      </c>
      <c r="N79" s="43">
        <f>N75</f>
        <v>0.06</v>
      </c>
      <c r="O79" s="45"/>
      <c r="S79" s="47" t="s">
        <v>10</v>
      </c>
      <c r="T79" s="43" t="s">
        <v>7</v>
      </c>
      <c r="U79" s="43">
        <f>U75+X79</f>
        <v>0.04</v>
      </c>
      <c r="V79" s="43">
        <f>V75+Y79</f>
        <v>0.06</v>
      </c>
      <c r="W79" s="45"/>
      <c r="AA79" s="47" t="s">
        <v>10</v>
      </c>
      <c r="AB79" s="43" t="s">
        <v>7</v>
      </c>
      <c r="AC79" s="43">
        <f>AC75+AF79</f>
        <v>0.02</v>
      </c>
      <c r="AD79" s="43">
        <f>AD75+AG79</f>
        <v>0.04</v>
      </c>
      <c r="AE79" s="45"/>
    </row>
    <row r="80" spans="1:34" x14ac:dyDescent="0.25">
      <c r="C80" s="168" t="s">
        <v>328</v>
      </c>
      <c r="D80" s="90" t="s">
        <v>329</v>
      </c>
      <c r="E80" s="341">
        <f>E88+E94</f>
        <v>-2883.5978835978894</v>
      </c>
      <c r="F80" s="49"/>
      <c r="G80" s="341">
        <f>G88+G94</f>
        <v>2883.5978835978894</v>
      </c>
      <c r="K80" s="47"/>
      <c r="L80" s="43"/>
      <c r="M80" s="43">
        <v>1</v>
      </c>
      <c r="N80" s="43">
        <v>2</v>
      </c>
      <c r="O80" s="45"/>
      <c r="S80" s="47"/>
      <c r="T80" s="43"/>
      <c r="U80" s="43">
        <v>1</v>
      </c>
      <c r="V80" s="43">
        <v>2</v>
      </c>
      <c r="W80" s="45"/>
      <c r="AA80" s="47"/>
      <c r="AB80" s="43"/>
      <c r="AC80" s="43">
        <v>1</v>
      </c>
      <c r="AD80" s="43">
        <v>2</v>
      </c>
      <c r="AE80" s="45"/>
    </row>
    <row r="81" spans="1:31" ht="42" customHeight="1" x14ac:dyDescent="0.25">
      <c r="C81" s="307" t="s">
        <v>326</v>
      </c>
      <c r="D81" s="307" t="s">
        <v>327</v>
      </c>
      <c r="E81" s="291">
        <f>E89+E95</f>
        <v>0</v>
      </c>
      <c r="F81" s="46"/>
      <c r="G81" s="291">
        <f>G89+G95</f>
        <v>-1000</v>
      </c>
      <c r="K81" s="47"/>
      <c r="L81" s="43" t="s">
        <v>11</v>
      </c>
      <c r="M81" s="43">
        <f>M75+M76</f>
        <v>0.1</v>
      </c>
      <c r="N81" s="43">
        <f>N75+N76</f>
        <v>0.14000000000000001</v>
      </c>
      <c r="O81" s="45"/>
      <c r="S81" s="47"/>
      <c r="T81" s="43" t="s">
        <v>11</v>
      </c>
      <c r="U81" s="43">
        <f>U75+U76</f>
        <v>7.0000000000000007E-2</v>
      </c>
      <c r="V81" s="43">
        <f>V75+V76</f>
        <v>0.11</v>
      </c>
      <c r="W81" s="45"/>
      <c r="AA81" s="47"/>
      <c r="AB81" s="43" t="s">
        <v>11</v>
      </c>
      <c r="AC81" s="43">
        <f>AC75+AC76+AF81</f>
        <v>0.08</v>
      </c>
      <c r="AD81" s="43">
        <f>AD75+AD76+AG81</f>
        <v>0.12</v>
      </c>
      <c r="AE81" s="45"/>
    </row>
    <row r="82" spans="1:31" x14ac:dyDescent="0.25">
      <c r="C82" s="17" t="s">
        <v>301</v>
      </c>
      <c r="E82" s="62">
        <f>E77-(E80+E78+E81)</f>
        <v>105.34809600230074</v>
      </c>
      <c r="F82" s="62"/>
      <c r="G82" s="62">
        <f>G77-(G80+G78+G81)</f>
        <v>-105.34809600230074</v>
      </c>
      <c r="K82" s="47"/>
      <c r="L82" s="43"/>
      <c r="M82" s="43">
        <v>1</v>
      </c>
      <c r="N82" s="43">
        <v>2</v>
      </c>
      <c r="O82" s="45"/>
      <c r="S82" s="47"/>
      <c r="T82" s="43"/>
      <c r="U82" s="43">
        <v>1</v>
      </c>
      <c r="V82" s="43">
        <v>2</v>
      </c>
      <c r="W82" s="45"/>
      <c r="AA82" s="47"/>
      <c r="AB82" s="43"/>
      <c r="AC82" s="43">
        <v>1</v>
      </c>
      <c r="AD82" s="43">
        <v>2</v>
      </c>
      <c r="AE82" s="45"/>
    </row>
    <row r="83" spans="1:31" x14ac:dyDescent="0.25">
      <c r="K83" s="47"/>
      <c r="L83" s="43" t="s">
        <v>12</v>
      </c>
      <c r="M83" s="43">
        <f>M75+M77</f>
        <v>4.7500000000000001E-2</v>
      </c>
      <c r="N83" s="43">
        <f>N75+N77</f>
        <v>6.9999999999999993E-2</v>
      </c>
      <c r="O83" s="45"/>
      <c r="S83" s="47"/>
      <c r="T83" s="43" t="s">
        <v>12</v>
      </c>
      <c r="U83" s="43">
        <f>U75+U77</f>
        <v>4.2500000000000003E-2</v>
      </c>
      <c r="V83" s="43">
        <f>V75+V77</f>
        <v>6.5000000000000002E-2</v>
      </c>
      <c r="W83" s="45"/>
      <c r="AA83" s="47"/>
      <c r="AB83" s="43" t="s">
        <v>12</v>
      </c>
      <c r="AC83" s="43">
        <f>AC75+AC77+AF83</f>
        <v>2.75E-2</v>
      </c>
      <c r="AD83" s="43">
        <f>AD75+AD77+AG83</f>
        <v>0.05</v>
      </c>
      <c r="AE83" s="45"/>
    </row>
    <row r="84" spans="1:31" x14ac:dyDescent="0.25">
      <c r="E84" s="43" t="s">
        <v>60</v>
      </c>
      <c r="F84" s="43"/>
      <c r="G84" s="43" t="s">
        <v>61</v>
      </c>
      <c r="K84" s="47"/>
      <c r="L84" s="43"/>
      <c r="M84" s="43"/>
      <c r="N84" s="43"/>
      <c r="O84" s="45"/>
      <c r="S84" s="47"/>
      <c r="T84" s="43"/>
      <c r="U84" s="43"/>
      <c r="V84" s="43"/>
      <c r="W84" s="45"/>
      <c r="AA84" s="47"/>
      <c r="AB84" s="43"/>
      <c r="AC84" s="43"/>
      <c r="AD84" s="43"/>
      <c r="AE84" s="45"/>
    </row>
    <row r="85" spans="1:31" x14ac:dyDescent="0.25">
      <c r="A85" s="50" t="s">
        <v>0</v>
      </c>
      <c r="B85" s="50" t="s">
        <v>13</v>
      </c>
      <c r="C85" s="295" t="s">
        <v>25</v>
      </c>
      <c r="D85" s="295"/>
      <c r="E85" s="296">
        <f>SUM(E86:E89)</f>
        <v>0</v>
      </c>
      <c r="F85" s="296"/>
      <c r="G85" s="296">
        <f>SUM(G86:G89)</f>
        <v>-5000</v>
      </c>
      <c r="K85" s="47"/>
      <c r="L85" s="43"/>
      <c r="M85" s="43">
        <v>1</v>
      </c>
      <c r="N85" s="43">
        <v>2</v>
      </c>
      <c r="O85" s="45"/>
      <c r="S85" s="47"/>
      <c r="T85" s="43"/>
      <c r="U85" s="43">
        <v>1</v>
      </c>
      <c r="V85" s="43">
        <v>2</v>
      </c>
      <c r="W85" s="45"/>
      <c r="AA85" s="47"/>
      <c r="AB85" s="43"/>
      <c r="AC85" s="43">
        <v>1</v>
      </c>
      <c r="AD85" s="43">
        <v>2</v>
      </c>
      <c r="AE85" s="45"/>
    </row>
    <row r="86" spans="1:31" x14ac:dyDescent="0.25">
      <c r="A86" s="50" t="s">
        <v>26</v>
      </c>
      <c r="B86" s="50" t="s">
        <v>302</v>
      </c>
      <c r="C86" s="297" t="s">
        <v>303</v>
      </c>
      <c r="D86" s="298"/>
      <c r="E86" s="299">
        <v>0</v>
      </c>
      <c r="F86" s="299"/>
      <c r="G86" s="299">
        <f>-$F$34*P24</f>
        <v>-4000</v>
      </c>
      <c r="K86" s="47" t="s">
        <v>10</v>
      </c>
      <c r="L86" s="43" t="s">
        <v>7</v>
      </c>
      <c r="M86" s="43">
        <f>1/(1+M79)</f>
        <v>0.96153846153846145</v>
      </c>
      <c r="N86" s="43">
        <f>(1-N79*SUM(M86:M86))/(1+N79)</f>
        <v>0.88896952104499272</v>
      </c>
      <c r="O86" s="45"/>
      <c r="S86" s="47" t="s">
        <v>10</v>
      </c>
      <c r="T86" s="43" t="s">
        <v>7</v>
      </c>
      <c r="U86" s="43">
        <f>1/(1+U79)</f>
        <v>0.96153846153846145</v>
      </c>
      <c r="V86" s="43">
        <f>(1-V79*SUM(U86:U86))/(1+V79)</f>
        <v>0.88896952104499272</v>
      </c>
      <c r="W86" s="45"/>
      <c r="AA86" s="47" t="s">
        <v>10</v>
      </c>
      <c r="AB86" s="43" t="s">
        <v>7</v>
      </c>
      <c r="AC86" s="43">
        <f>1/(1+AC79)</f>
        <v>0.98039215686274506</v>
      </c>
      <c r="AD86" s="43">
        <f>(1-AD79*SUM(AC86:AC86))/(1+AD79)</f>
        <v>0.92383107088989447</v>
      </c>
      <c r="AE86" s="45"/>
    </row>
    <row r="87" spans="1:31" x14ac:dyDescent="0.25">
      <c r="C87" s="90" t="s">
        <v>304</v>
      </c>
      <c r="D87" s="50"/>
      <c r="E87" s="62"/>
      <c r="F87" s="62"/>
      <c r="G87" s="62"/>
      <c r="K87" s="47"/>
      <c r="L87" s="43"/>
      <c r="M87" s="43">
        <v>1</v>
      </c>
      <c r="N87" s="43">
        <v>2</v>
      </c>
      <c r="O87" s="45"/>
      <c r="S87" s="47"/>
      <c r="T87" s="43"/>
      <c r="U87" s="43">
        <v>1</v>
      </c>
      <c r="V87" s="43">
        <v>2</v>
      </c>
      <c r="W87" s="45"/>
      <c r="AA87" s="47"/>
      <c r="AB87" s="43"/>
      <c r="AC87" s="43">
        <v>1</v>
      </c>
      <c r="AD87" s="43">
        <v>2</v>
      </c>
      <c r="AE87" s="45"/>
    </row>
    <row r="88" spans="1:31" x14ac:dyDescent="0.25">
      <c r="C88" s="168" t="s">
        <v>328</v>
      </c>
      <c r="D88" s="90" t="s">
        <v>329</v>
      </c>
      <c r="E88" s="62"/>
      <c r="F88" s="62"/>
      <c r="G88" s="62"/>
      <c r="K88" s="47"/>
      <c r="L88" s="43"/>
      <c r="M88" s="43"/>
      <c r="N88" s="43"/>
      <c r="O88" s="45"/>
      <c r="S88" s="47"/>
      <c r="T88" s="43"/>
      <c r="U88" s="43"/>
      <c r="V88" s="43"/>
      <c r="W88" s="45"/>
      <c r="AA88" s="47"/>
      <c r="AB88" s="43"/>
      <c r="AC88" s="43"/>
      <c r="AD88" s="43"/>
      <c r="AE88" s="45"/>
    </row>
    <row r="89" spans="1:31" ht="27" customHeight="1" x14ac:dyDescent="0.25">
      <c r="C89" s="307" t="s">
        <v>326</v>
      </c>
      <c r="D89" s="307" t="s">
        <v>327</v>
      </c>
      <c r="E89" s="62">
        <v>0</v>
      </c>
      <c r="F89" s="62"/>
      <c r="G89" s="62">
        <f>-$F$34*P26</f>
        <v>-1000</v>
      </c>
      <c r="K89" s="47"/>
      <c r="L89" s="43" t="s">
        <v>11</v>
      </c>
      <c r="M89" s="43">
        <f>1/(1+M81)</f>
        <v>0.90909090909090906</v>
      </c>
      <c r="N89" s="43">
        <f>(1-N81*SUM(M89:M89))/(1+N81)</f>
        <v>0.76555023923444965</v>
      </c>
      <c r="O89" s="45"/>
      <c r="S89" s="47"/>
      <c r="T89" s="43" t="s">
        <v>11</v>
      </c>
      <c r="U89" s="43">
        <f>1/(1+U81)</f>
        <v>0.93457943925233644</v>
      </c>
      <c r="V89" s="43">
        <f>(1-V81*SUM(U89:U89))/(1+V81)</f>
        <v>0.8082849204344531</v>
      </c>
      <c r="W89" s="45"/>
      <c r="AA89" s="47"/>
      <c r="AB89" s="43" t="s">
        <v>11</v>
      </c>
      <c r="AC89" s="43">
        <f>1/(1+AC81)</f>
        <v>0.92592592592592582</v>
      </c>
      <c r="AD89" s="43">
        <f>(1-AD81*SUM(AC89:AC89))/(1+AD81)</f>
        <v>0.79365079365079361</v>
      </c>
      <c r="AE89" s="45"/>
    </row>
    <row r="90" spans="1:31" x14ac:dyDescent="0.25">
      <c r="E90" s="62"/>
      <c r="F90" s="62"/>
      <c r="G90" s="62"/>
      <c r="K90" s="47"/>
      <c r="L90" s="43"/>
      <c r="M90" s="43">
        <v>1</v>
      </c>
      <c r="N90" s="43">
        <v>2</v>
      </c>
      <c r="O90" s="45"/>
      <c r="S90" s="47"/>
      <c r="T90" s="43"/>
      <c r="U90" s="43">
        <v>1</v>
      </c>
      <c r="V90" s="43">
        <v>2</v>
      </c>
      <c r="W90" s="45"/>
      <c r="AA90" s="47"/>
      <c r="AB90" s="43"/>
      <c r="AC90" s="43">
        <v>1</v>
      </c>
      <c r="AD90" s="43">
        <v>2</v>
      </c>
      <c r="AE90" s="45"/>
    </row>
    <row r="91" spans="1:31" ht="14.4" thickBot="1" x14ac:dyDescent="0.3">
      <c r="A91" s="50" t="str">
        <f>A61</f>
        <v>Exposure</v>
      </c>
      <c r="B91" s="50" t="str">
        <f>B61</f>
        <v>Geschäftsmodell</v>
      </c>
      <c r="C91" s="35" t="s">
        <v>28</v>
      </c>
      <c r="D91" s="35"/>
      <c r="E91" s="300">
        <f>(F68-$D$67)-($F$63-$D$62)</f>
        <v>-4718.6147186147136</v>
      </c>
      <c r="F91" s="300"/>
      <c r="G91" s="300">
        <f>(H68-$F$67)-($H$63-$F$62)</f>
        <v>4718.6147186147136</v>
      </c>
      <c r="K91" s="69"/>
      <c r="L91" s="70" t="s">
        <v>12</v>
      </c>
      <c r="M91" s="70">
        <f t="shared" ref="M91" si="3">1/(1+M83)</f>
        <v>0.95465393794749398</v>
      </c>
      <c r="N91" s="70">
        <f>(1-N83*SUM(M91:M91))/(1+N83)</f>
        <v>0.87212544331184616</v>
      </c>
      <c r="O91" s="71"/>
      <c r="S91" s="69"/>
      <c r="T91" s="70" t="s">
        <v>12</v>
      </c>
      <c r="U91" s="70">
        <f t="shared" ref="U91" si="4">1/(1+U83)</f>
        <v>0.95923261390887293</v>
      </c>
      <c r="V91" s="70">
        <f>(1-V83*SUM(U91:U91))/(1+V83)</f>
        <v>0.88042242262528003</v>
      </c>
      <c r="W91" s="71"/>
      <c r="AA91" s="69"/>
      <c r="AB91" s="70" t="s">
        <v>12</v>
      </c>
      <c r="AC91" s="70">
        <f t="shared" ref="AC91" si="5">1/(1+AC83)</f>
        <v>0.97323600973236002</v>
      </c>
      <c r="AD91" s="70">
        <f>(1-AD83*SUM(AC91:AC91))/(1+AD83)</f>
        <v>0.9060363804889352</v>
      </c>
      <c r="AE91" s="71"/>
    </row>
    <row r="92" spans="1:31" x14ac:dyDescent="0.25">
      <c r="A92" s="50" t="str">
        <f>A62</f>
        <v>Bond-BB</v>
      </c>
      <c r="B92" s="50" t="str">
        <f>B62</f>
        <v>FVPL - HFT</v>
      </c>
      <c r="C92" s="297" t="s">
        <v>303</v>
      </c>
      <c r="D92" s="298"/>
      <c r="E92" s="299">
        <f>(I5*U89-$D$67)-($F$63-$D$62)</f>
        <v>-1940.3649310191249</v>
      </c>
      <c r="F92" s="299"/>
      <c r="G92" s="299">
        <f>($H$68-$I$5 *U89)-($H$63-$F$62)</f>
        <v>1940.3649310191249</v>
      </c>
    </row>
    <row r="93" spans="1:31" x14ac:dyDescent="0.25">
      <c r="C93" s="90" t="s">
        <v>304</v>
      </c>
      <c r="D93" s="50"/>
      <c r="E93" s="62"/>
      <c r="F93" s="62"/>
      <c r="G93" s="62"/>
      <c r="K93" s="393" t="s">
        <v>305</v>
      </c>
      <c r="L93" s="393"/>
      <c r="M93" s="393"/>
      <c r="N93" s="393"/>
      <c r="O93" s="393"/>
    </row>
    <row r="94" spans="1:31" x14ac:dyDescent="0.25">
      <c r="C94" s="168" t="s">
        <v>328</v>
      </c>
      <c r="D94" s="90" t="s">
        <v>329</v>
      </c>
      <c r="E94" s="62">
        <f>(I5*AC89-$D$67)-($F$63-$D$62)</f>
        <v>-2883.5978835978894</v>
      </c>
      <c r="F94" s="62"/>
      <c r="G94" s="62">
        <f>($H$68-$I$5 *AC89)-($H$63-$F$62)</f>
        <v>2883.5978835978894</v>
      </c>
      <c r="K94" s="283"/>
      <c r="L94" s="285" t="s">
        <v>306</v>
      </c>
      <c r="M94" s="285"/>
      <c r="N94" s="285" t="s">
        <v>3</v>
      </c>
      <c r="O94" s="286"/>
    </row>
    <row r="95" spans="1:31" ht="26.25" customHeight="1" x14ac:dyDescent="0.25">
      <c r="C95" s="307" t="s">
        <v>326</v>
      </c>
      <c r="D95" s="307" t="s">
        <v>327</v>
      </c>
      <c r="E95" s="64">
        <v>0</v>
      </c>
      <c r="F95" s="64"/>
      <c r="G95" s="64">
        <v>0</v>
      </c>
      <c r="K95" s="283" t="s">
        <v>307</v>
      </c>
      <c r="L95" s="301">
        <v>100000</v>
      </c>
      <c r="M95" s="285"/>
      <c r="N95" s="286">
        <f>I5*M18</f>
        <v>103809.52380952382</v>
      </c>
      <c r="O95" s="302" t="s">
        <v>308</v>
      </c>
    </row>
    <row r="96" spans="1:31" x14ac:dyDescent="0.25">
      <c r="C96" s="17" t="s">
        <v>301</v>
      </c>
      <c r="E96" s="62">
        <f>E91-(E94+E92)</f>
        <v>105.34809600230074</v>
      </c>
      <c r="F96" s="62"/>
      <c r="G96" s="62">
        <f>G91-(G94+G92)</f>
        <v>-105.34809600230074</v>
      </c>
      <c r="K96" s="145"/>
      <c r="L96" s="303" t="s">
        <v>309</v>
      </c>
      <c r="M96" s="100">
        <f>N95-L95</f>
        <v>3809.5238095238165</v>
      </c>
      <c r="N96" s="290"/>
      <c r="O96" s="302"/>
    </row>
    <row r="97" spans="1:15" x14ac:dyDescent="0.25">
      <c r="E97" s="62"/>
      <c r="F97" s="62"/>
      <c r="G97" s="62"/>
      <c r="K97" s="145" t="s">
        <v>310</v>
      </c>
      <c r="L97" s="304">
        <f>L95</f>
        <v>100000</v>
      </c>
      <c r="M97" s="100"/>
      <c r="N97" s="290">
        <f>$I$5*M89</f>
        <v>99090.909090909103</v>
      </c>
      <c r="O97" s="302" t="s">
        <v>311</v>
      </c>
    </row>
    <row r="98" spans="1:15" x14ac:dyDescent="0.25">
      <c r="A98" s="35" t="s">
        <v>312</v>
      </c>
      <c r="B98" s="35"/>
      <c r="K98" s="145"/>
      <c r="L98" s="303" t="s">
        <v>309</v>
      </c>
      <c r="M98" s="55">
        <f>N97-L97</f>
        <v>-909.09090909089718</v>
      </c>
      <c r="N98" s="293"/>
      <c r="O98" s="290"/>
    </row>
    <row r="99" spans="1:15" x14ac:dyDescent="0.25">
      <c r="A99" s="50" t="str">
        <f>A61</f>
        <v>Exposure</v>
      </c>
      <c r="B99" s="50" t="str">
        <f>B61</f>
        <v>Geschäftsmodell</v>
      </c>
      <c r="C99" s="35" t="s">
        <v>285</v>
      </c>
      <c r="D99" s="35"/>
      <c r="E99" s="300">
        <f>($F$5*M89+$I$5*N89-$C$14)-$D$51</f>
        <v>-8373.2057416268071</v>
      </c>
      <c r="F99" s="300"/>
      <c r="G99" s="300">
        <v>0</v>
      </c>
      <c r="K99" s="148"/>
      <c r="L99" s="46" t="s">
        <v>313</v>
      </c>
      <c r="M99" s="55">
        <f>M98-M96</f>
        <v>-4718.6147186147136</v>
      </c>
      <c r="N99" s="293"/>
      <c r="O99" s="290"/>
    </row>
    <row r="100" spans="1:15" x14ac:dyDescent="0.25">
      <c r="A100" s="50" t="str">
        <f>A62</f>
        <v>Bond-BB</v>
      </c>
      <c r="B100" s="50" t="str">
        <f>B62</f>
        <v>FVPL - HFT</v>
      </c>
      <c r="C100" s="297" t="s">
        <v>303</v>
      </c>
      <c r="D100" s="298"/>
      <c r="E100" s="299">
        <f>($F$5*U89+$I$5*V89-$C$14)-$D$51</f>
        <v>-3485.7287193735683</v>
      </c>
      <c r="F100" s="299"/>
      <c r="G100" s="299">
        <v>0</v>
      </c>
      <c r="K100" s="145"/>
      <c r="L100" s="43"/>
      <c r="M100" s="100"/>
      <c r="N100" s="43"/>
      <c r="O100" s="290"/>
    </row>
    <row r="101" spans="1:15" x14ac:dyDescent="0.25">
      <c r="C101" s="90" t="s">
        <v>304</v>
      </c>
      <c r="D101" s="50"/>
      <c r="E101" s="62"/>
      <c r="F101" s="62"/>
      <c r="G101" s="62"/>
      <c r="K101" s="145" t="s">
        <v>113</v>
      </c>
      <c r="L101" s="304">
        <v>100000</v>
      </c>
      <c r="M101" s="100"/>
      <c r="N101" s="43">
        <f>$I$5*U89</f>
        <v>101869.15887850469</v>
      </c>
      <c r="O101" s="302" t="s">
        <v>314</v>
      </c>
    </row>
    <row r="102" spans="1:15" x14ac:dyDescent="0.25">
      <c r="C102" s="168" t="s">
        <v>328</v>
      </c>
      <c r="D102" s="90" t="s">
        <v>329</v>
      </c>
      <c r="E102" s="62">
        <f>($F$5*AC89+$I$5*AD89-$C$14)-$D$51</f>
        <v>-5158.7301587301627</v>
      </c>
      <c r="F102" s="62"/>
      <c r="G102" s="62">
        <v>0</v>
      </c>
      <c r="K102" s="145" t="s">
        <v>315</v>
      </c>
      <c r="L102" s="303" t="s">
        <v>309</v>
      </c>
      <c r="M102" s="55">
        <f>N101-L101</f>
        <v>1869.1588785046915</v>
      </c>
      <c r="N102" s="46"/>
      <c r="O102" s="290"/>
    </row>
    <row r="103" spans="1:15" ht="48" customHeight="1" x14ac:dyDescent="0.25">
      <c r="C103" s="307" t="s">
        <v>326</v>
      </c>
      <c r="D103" s="307" t="s">
        <v>327</v>
      </c>
      <c r="E103" s="64">
        <v>0</v>
      </c>
      <c r="F103" s="64"/>
      <c r="G103" s="64">
        <v>0</v>
      </c>
      <c r="K103" s="145"/>
      <c r="L103" s="46" t="s">
        <v>313</v>
      </c>
      <c r="M103" s="100">
        <f>M102-M96</f>
        <v>-1940.3649310191249</v>
      </c>
      <c r="N103" s="43"/>
      <c r="O103" s="290"/>
    </row>
    <row r="104" spans="1:15" x14ac:dyDescent="0.25">
      <c r="C104" s="17" t="s">
        <v>301</v>
      </c>
      <c r="E104" s="62">
        <f>E99-(E102+E100)</f>
        <v>271.25313647692383</v>
      </c>
      <c r="F104" s="62"/>
      <c r="G104" s="62">
        <v>0</v>
      </c>
      <c r="K104" s="145"/>
      <c r="L104" s="43"/>
      <c r="M104" s="100"/>
      <c r="N104" s="43"/>
      <c r="O104" s="290"/>
    </row>
    <row r="105" spans="1:15" x14ac:dyDescent="0.25">
      <c r="K105" s="145" t="s">
        <v>113</v>
      </c>
      <c r="L105" s="304">
        <v>100000</v>
      </c>
      <c r="M105" s="100"/>
      <c r="N105" s="43">
        <f>$I$5*AC89</f>
        <v>100925.92592592593</v>
      </c>
      <c r="O105" s="302" t="s">
        <v>316</v>
      </c>
    </row>
    <row r="106" spans="1:15" x14ac:dyDescent="0.25">
      <c r="A106" s="50" t="str">
        <f>A99</f>
        <v>Exposure</v>
      </c>
      <c r="B106" s="50" t="str">
        <f>B99</f>
        <v>Geschäftsmodell</v>
      </c>
      <c r="C106" s="35" t="s">
        <v>317</v>
      </c>
      <c r="D106" s="35"/>
      <c r="E106" s="300">
        <f>($I$5*M89-($F$5*M89+$I$5*N89))-D52</f>
        <v>3654.5910230120935</v>
      </c>
      <c r="F106" s="300"/>
      <c r="G106" s="300">
        <f>(-$C$5-$I$5*M89)-G52</f>
        <v>4718.6147186147136</v>
      </c>
      <c r="K106" s="145" t="s">
        <v>318</v>
      </c>
      <c r="L106" s="303" t="s">
        <v>309</v>
      </c>
      <c r="M106" s="55">
        <f>N105-L105</f>
        <v>925.925925925927</v>
      </c>
      <c r="N106" s="46"/>
      <c r="O106" s="290"/>
    </row>
    <row r="107" spans="1:15" x14ac:dyDescent="0.25">
      <c r="A107" s="50" t="str">
        <f>A100</f>
        <v>Bond-BB</v>
      </c>
      <c r="B107" s="50" t="str">
        <f>B100</f>
        <v>FVPL - HFT</v>
      </c>
      <c r="C107" s="297" t="s">
        <v>303</v>
      </c>
      <c r="D107" s="298"/>
      <c r="E107" s="299">
        <f>($I$5*U89-($F$5*U89+$I$5*V89))-$D$52</f>
        <v>1545.3637883544434</v>
      </c>
      <c r="F107" s="299"/>
      <c r="G107" s="299">
        <f>(-$C$5-$I$5*U89)-G52</f>
        <v>1940.3649310191249</v>
      </c>
      <c r="K107" s="145"/>
      <c r="L107" s="46" t="s">
        <v>313</v>
      </c>
      <c r="M107" s="100">
        <f>M106-M96</f>
        <v>-2883.5978835978894</v>
      </c>
      <c r="N107" s="43"/>
      <c r="O107" s="290"/>
    </row>
    <row r="108" spans="1:15" x14ac:dyDescent="0.25">
      <c r="C108" s="90" t="s">
        <v>304</v>
      </c>
      <c r="D108" s="50"/>
      <c r="E108" s="62"/>
      <c r="F108" s="62"/>
      <c r="G108" s="62"/>
      <c r="K108" s="145"/>
      <c r="L108" s="43"/>
      <c r="M108" s="100"/>
      <c r="N108" s="43"/>
      <c r="O108" s="290"/>
    </row>
    <row r="109" spans="1:15" x14ac:dyDescent="0.25">
      <c r="C109" s="168" t="s">
        <v>328</v>
      </c>
      <c r="D109" s="90" t="s">
        <v>329</v>
      </c>
      <c r="E109" s="62">
        <f>($I$5*AC89-($F$5*AC89+$I$5*AD89))-$D$52</f>
        <v>2275.1322751322732</v>
      </c>
      <c r="F109" s="62"/>
      <c r="G109" s="62">
        <f>(-$C$5-$I$5*AC89)-G52</f>
        <v>2883.5978835978894</v>
      </c>
      <c r="K109" s="148" t="s">
        <v>301</v>
      </c>
      <c r="L109" s="46"/>
      <c r="M109" s="55">
        <f>M99-M103-M107</f>
        <v>105.34809600230074</v>
      </c>
      <c r="N109" s="46"/>
      <c r="O109" s="293"/>
    </row>
    <row r="110" spans="1:15" ht="41.4" x14ac:dyDescent="0.25">
      <c r="C110" s="307" t="s">
        <v>326</v>
      </c>
      <c r="D110" s="307" t="s">
        <v>327</v>
      </c>
      <c r="E110" s="64">
        <v>0</v>
      </c>
      <c r="F110" s="64"/>
      <c r="G110" s="64">
        <v>0</v>
      </c>
    </row>
    <row r="111" spans="1:15" x14ac:dyDescent="0.25">
      <c r="C111" s="17" t="s">
        <v>301</v>
      </c>
      <c r="E111" s="62">
        <f>E106-(E109+E107)</f>
        <v>-165.90504047462309</v>
      </c>
      <c r="F111" s="62"/>
      <c r="G111" s="62">
        <f>G106-(G109+G107)</f>
        <v>-105.34809600230074</v>
      </c>
    </row>
  </sheetData>
  <mergeCells count="15">
    <mergeCell ref="K93:O93"/>
    <mergeCell ref="D46:E46"/>
    <mergeCell ref="G46:H46"/>
    <mergeCell ref="K73:O73"/>
    <mergeCell ref="S73:W73"/>
    <mergeCell ref="AA73:AE73"/>
    <mergeCell ref="K75:K77"/>
    <mergeCell ref="S75:S77"/>
    <mergeCell ref="AA75:AA77"/>
    <mergeCell ref="A2:J2"/>
    <mergeCell ref="K3:K6"/>
    <mergeCell ref="G16:I19"/>
    <mergeCell ref="A23:J23"/>
    <mergeCell ref="K24:K27"/>
    <mergeCell ref="G37:I4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</vt:i4>
      </vt:variant>
    </vt:vector>
  </HeadingPairs>
  <TitlesOfParts>
    <vt:vector size="13" baseType="lpstr">
      <vt:lpstr>Inhaltsverzeichnis</vt:lpstr>
      <vt:lpstr>Überblick</vt:lpstr>
      <vt:lpstr>Ertragswertkalkül mit Marge</vt:lpstr>
      <vt:lpstr>Ertragswertkalkül ohne Marge</vt:lpstr>
      <vt:lpstr>Marktwertkalkül</vt:lpstr>
      <vt:lpstr>Exkurs Dynamiken Zins-Sensi</vt:lpstr>
      <vt:lpstr>Exkurs Nebenrechnungen</vt:lpstr>
      <vt:lpstr>Ertragsperspektive</vt:lpstr>
      <vt:lpstr>Bsp. Ertragsperspektive mit CS</vt:lpstr>
      <vt:lpstr>Bsp. Ertragsperspektive IRRBB</vt:lpstr>
      <vt:lpstr>'Ertragswertkalkül mit Marge'!_Ref40701619</vt:lpstr>
      <vt:lpstr>'Exkurs Dynamiken Zins-Sensi'!_Ref42005405</vt:lpstr>
      <vt:lpstr>'Ertragswertkalkül ohne Marge'!_Ref43119873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Wiechers</dc:creator>
  <cp:lastModifiedBy>Vanessa Hille</cp:lastModifiedBy>
  <dcterms:created xsi:type="dcterms:W3CDTF">2020-01-28T19:36:16Z</dcterms:created>
  <dcterms:modified xsi:type="dcterms:W3CDTF">2020-10-16T09:56:48Z</dcterms:modified>
</cp:coreProperties>
</file>